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515" windowWidth="15240" windowHeight="8700" tabRatio="601" activeTab="0"/>
  </bookViews>
  <sheets>
    <sheet name="Sheet1" sheetId="1" r:id="rId1"/>
    <sheet name="weir" sheetId="2" r:id="rId2"/>
    <sheet name="Det Time" sheetId="3" r:id="rId3"/>
    <sheet name="Ras SVI" sheetId="4" r:id="rId4"/>
    <sheet name="Ras Settleability" sheetId="5" r:id="rId5"/>
    <sheet name="Constant MLSS" sheetId="6" r:id="rId6"/>
    <sheet name="Constant Fm" sheetId="7" r:id="rId7"/>
    <sheet name="Help" sheetId="8" r:id="rId8"/>
    <sheet name="Constant Sludge age" sheetId="9" r:id="rId9"/>
    <sheet name="Constant MCRT" sheetId="10" r:id="rId10"/>
    <sheet name="ChlorineFilaments" sheetId="11" r:id="rId11"/>
    <sheet name="Sheet2" sheetId="12" r:id="rId12"/>
  </sheets>
  <definedNames/>
  <calcPr fullCalcOnLoad="1"/>
</workbook>
</file>

<file path=xl/sharedStrings.xml><?xml version="1.0" encoding="utf-8"?>
<sst xmlns="http://schemas.openxmlformats.org/spreadsheetml/2006/main" count="129" uniqueCount="92">
  <si>
    <t>SVI</t>
  </si>
  <si>
    <t>MLSS</t>
  </si>
  <si>
    <t>INF Fow</t>
  </si>
  <si>
    <t>Ras Conc</t>
  </si>
  <si>
    <t>Ras Flow MGD</t>
  </si>
  <si>
    <t>Ras Flow Gals</t>
  </si>
  <si>
    <t>Ras Flow GPM</t>
  </si>
  <si>
    <t>Enter Known Data</t>
  </si>
  <si>
    <t>Sv,ml/l</t>
  </si>
  <si>
    <t>Inf flow MGD</t>
  </si>
  <si>
    <t>Ras %</t>
  </si>
  <si>
    <t>b</t>
  </si>
  <si>
    <t>Desired MLSS</t>
  </si>
  <si>
    <t>Actual MLSS</t>
  </si>
  <si>
    <t>Aeration Vol</t>
  </si>
  <si>
    <t>Ras/Was Conc</t>
  </si>
  <si>
    <t>Gals to waste, MGD</t>
  </si>
  <si>
    <t>Gals to waste</t>
  </si>
  <si>
    <t>GPM to waste</t>
  </si>
  <si>
    <t>Inf BOD</t>
  </si>
  <si>
    <t>Inf Flow</t>
  </si>
  <si>
    <t>Desired FM</t>
  </si>
  <si>
    <t>Aeration vol</t>
  </si>
  <si>
    <t>LBS Waste</t>
  </si>
  <si>
    <t>MGD Waste</t>
  </si>
  <si>
    <t>Gals Waste</t>
  </si>
  <si>
    <t>GPM Waste</t>
  </si>
  <si>
    <t>Ras/Was conc</t>
  </si>
  <si>
    <t>Inf Susp Sol</t>
  </si>
  <si>
    <t>Desired Sludge age</t>
  </si>
  <si>
    <t>LBS to Waste</t>
  </si>
  <si>
    <t>MGD to Waste</t>
  </si>
  <si>
    <t>Gpm Waste</t>
  </si>
  <si>
    <t>Clarifier Vol</t>
  </si>
  <si>
    <t>Desired MCRT</t>
  </si>
  <si>
    <t>MG to Waste</t>
  </si>
  <si>
    <t>GPM to Waste</t>
  </si>
  <si>
    <t>Desired CL2 Dose</t>
  </si>
  <si>
    <t>( 3-5 lbs)</t>
  </si>
  <si>
    <t>Lbs of CL2 needed/day</t>
  </si>
  <si>
    <t>Frequency Check</t>
  </si>
  <si>
    <t>RAS Flow MGD</t>
  </si>
  <si>
    <t>Frequency</t>
  </si>
  <si>
    <t>Enter Known data</t>
  </si>
  <si>
    <t>30 minSSV</t>
  </si>
  <si>
    <t>Inf flow</t>
  </si>
  <si>
    <t>Inf SS</t>
  </si>
  <si>
    <t>Sludge Age Days</t>
  </si>
  <si>
    <t>Was Flow MG</t>
  </si>
  <si>
    <t>MCRT Days</t>
  </si>
  <si>
    <t>Aeration Vol MG</t>
  </si>
  <si>
    <t>Clarifier Vol MG</t>
  </si>
  <si>
    <t>Inf Flow MG</t>
  </si>
  <si>
    <t>Aer Vol MG</t>
  </si>
  <si>
    <t>FM Ratio</t>
  </si>
  <si>
    <t>Length</t>
  </si>
  <si>
    <t>Width</t>
  </si>
  <si>
    <t>Height</t>
  </si>
  <si>
    <t>Square FT</t>
  </si>
  <si>
    <t>Cubic FT</t>
  </si>
  <si>
    <t>Gallons</t>
  </si>
  <si>
    <t>Radius</t>
  </si>
  <si>
    <t>Area</t>
  </si>
  <si>
    <t>Ras Flow</t>
  </si>
  <si>
    <t>Waste Flow</t>
  </si>
  <si>
    <t>Other</t>
  </si>
  <si>
    <t>Vol of tank in Gallons</t>
  </si>
  <si>
    <t>Flow In Gallons</t>
  </si>
  <si>
    <t>Detention Time In Hours</t>
  </si>
  <si>
    <t>Flow In Gallons/Day</t>
  </si>
  <si>
    <t>Feet of Weir</t>
  </si>
  <si>
    <t>Gals/Ft of Weir</t>
  </si>
  <si>
    <t>Enter Know Data</t>
  </si>
  <si>
    <t>Mlss Mg/l</t>
  </si>
  <si>
    <t>Eff SS Mg/L</t>
  </si>
  <si>
    <t>Was/Ras conc Mg/l</t>
  </si>
  <si>
    <t>Inf flow MG</t>
  </si>
  <si>
    <t>Temp Celsius</t>
  </si>
  <si>
    <t>Temp Fahrenheit</t>
  </si>
  <si>
    <t>Fahrenheit to Celsius</t>
  </si>
  <si>
    <t>Celsius to Fahrenheit</t>
  </si>
  <si>
    <t>Rectangle</t>
  </si>
  <si>
    <t>Circle</t>
  </si>
  <si>
    <t>30min</t>
  </si>
  <si>
    <t>Developed By; Tim Shudt</t>
  </si>
  <si>
    <t>Version 1.2</t>
  </si>
  <si>
    <t>Influent Flow</t>
  </si>
  <si>
    <t>Enter Data</t>
  </si>
  <si>
    <t>On the main menu enter data in the approiate spaces. This will input data in all formulas where required.</t>
  </si>
  <si>
    <t>If buttons do not work, be sure to enable macros when program opens</t>
  </si>
  <si>
    <t>If program is open click on  "Tools" on the top tool bar, then click on "Macros", then "Security"</t>
  </si>
  <si>
    <t>Any question or comments can be e-mailed to shudt@nyruralwater.org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</si>
</sst>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"/>
    <numFmt numFmtId="167" formatCode="0.0"/>
    <numFmt numFmtId="168" formatCode="0.00000"/>
    <numFmt numFmtId="169" formatCode="#,##0.0"/>
    <numFmt numFmtId="170" formatCode="[$-409]dddd\,\ mmmm\ dd\,\ yyyy"/>
  </numFmts>
  <fonts count="18">
    <font>
      <sz val="10"/>
      <name val="Arial"/>
      <family val="0"/>
    </font>
    <font>
      <b/>
      <i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i/>
      <sz val="14"/>
      <color indexed="62"/>
      <name val="American Classic"/>
      <family val="1"/>
    </font>
    <font>
      <i/>
      <u val="single"/>
      <sz val="14"/>
      <color indexed="62"/>
      <name val="American Classic"/>
      <family val="1"/>
    </font>
    <font>
      <i/>
      <sz val="14"/>
      <color indexed="62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i/>
      <sz val="14"/>
      <color indexed="9"/>
      <name val="American Classic"/>
      <family val="1"/>
    </font>
    <font>
      <sz val="14"/>
      <color indexed="9"/>
      <name val="Arial"/>
      <family val="0"/>
    </font>
    <font>
      <i/>
      <sz val="14"/>
      <color indexed="42"/>
      <name val="Arial"/>
      <family val="2"/>
    </font>
    <font>
      <sz val="10"/>
      <color indexed="42"/>
      <name val="Arial"/>
      <family val="0"/>
    </font>
    <font>
      <sz val="14"/>
      <color indexed="42"/>
      <name val="American Classic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5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2" borderId="0" xfId="0" applyFill="1" applyAlignment="1">
      <alignment horizontal="right"/>
    </xf>
    <xf numFmtId="0" fontId="9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/>
    </xf>
    <xf numFmtId="2" fontId="9" fillId="2" borderId="1" xfId="0" applyNumberFormat="1" applyFont="1" applyFill="1" applyBorder="1" applyAlignment="1" applyProtection="1">
      <alignment/>
      <protection/>
    </xf>
    <xf numFmtId="3" fontId="9" fillId="2" borderId="1" xfId="0" applyNumberFormat="1" applyFont="1" applyFill="1" applyBorder="1" applyAlignment="1" applyProtection="1">
      <alignment/>
      <protection/>
    </xf>
    <xf numFmtId="1" fontId="9" fillId="2" borderId="1" xfId="0" applyNumberFormat="1" applyFont="1" applyFill="1" applyBorder="1" applyAlignment="1" applyProtection="1">
      <alignment/>
      <protection/>
    </xf>
    <xf numFmtId="0" fontId="11" fillId="2" borderId="0" xfId="0" applyFont="1" applyFill="1" applyAlignment="1">
      <alignment/>
    </xf>
    <xf numFmtId="9" fontId="9" fillId="2" borderId="1" xfId="0" applyNumberFormat="1" applyFont="1" applyFill="1" applyBorder="1" applyAlignment="1" applyProtection="1">
      <alignment/>
      <protection/>
    </xf>
    <xf numFmtId="164" fontId="9" fillId="2" borderId="1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center"/>
      <protection/>
    </xf>
    <xf numFmtId="0" fontId="9" fillId="2" borderId="2" xfId="0" applyFont="1" applyFill="1" applyBorder="1" applyAlignment="1" applyProtection="1">
      <alignment/>
      <protection locked="0"/>
    </xf>
    <xf numFmtId="1" fontId="9" fillId="2" borderId="0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2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 applyProtection="1">
      <alignment horizontal="center"/>
      <protection/>
    </xf>
    <xf numFmtId="3" fontId="9" fillId="2" borderId="2" xfId="0" applyNumberFormat="1" applyFont="1" applyFill="1" applyBorder="1" applyAlignment="1" applyProtection="1">
      <alignment horizontal="center"/>
      <protection/>
    </xf>
    <xf numFmtId="3" fontId="9" fillId="2" borderId="1" xfId="0" applyNumberFormat="1" applyFont="1" applyFill="1" applyBorder="1" applyAlignment="1" applyProtection="1">
      <alignment/>
      <protection locked="0"/>
    </xf>
    <xf numFmtId="12" fontId="9" fillId="2" borderId="1" xfId="0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left"/>
      <protection/>
    </xf>
    <xf numFmtId="3" fontId="9" fillId="2" borderId="1" xfId="0" applyNumberFormat="1" applyFont="1" applyFill="1" applyBorder="1" applyAlignment="1" applyProtection="1">
      <alignment horizontal="center"/>
      <protection/>
    </xf>
    <xf numFmtId="165" fontId="9" fillId="2" borderId="1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2" fillId="4" borderId="0" xfId="20" applyFill="1" applyAlignment="1">
      <alignment/>
    </xf>
    <xf numFmtId="0" fontId="0" fillId="4" borderId="0" xfId="0" applyFill="1" applyBorder="1" applyAlignment="1">
      <alignment/>
    </xf>
    <xf numFmtId="14" fontId="13" fillId="4" borderId="0" xfId="0" applyNumberFormat="1" applyFont="1" applyFill="1" applyAlignment="1">
      <alignment vertical="center"/>
    </xf>
    <xf numFmtId="0" fontId="16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9" fillId="2" borderId="2" xfId="0" applyFont="1" applyFill="1" applyBorder="1" applyAlignment="1" applyProtection="1">
      <alignment/>
      <protection/>
    </xf>
    <xf numFmtId="0" fontId="9" fillId="2" borderId="2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/>
      <protection/>
    </xf>
    <xf numFmtId="0" fontId="16" fillId="4" borderId="1" xfId="0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4" borderId="0" xfId="0" applyFill="1" applyAlignment="1">
      <alignment horizontal="center"/>
    </xf>
    <xf numFmtId="14" fontId="14" fillId="4" borderId="0" xfId="0" applyNumberFormat="1" applyFont="1" applyFill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22" fontId="16" fillId="4" borderId="0" xfId="0" applyNumberFormat="1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9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 horizontal="right"/>
      <protection/>
    </xf>
    <xf numFmtId="0" fontId="1" fillId="2" borderId="0" xfId="0" applyFont="1" applyFill="1" applyAlignment="1" applyProtection="1">
      <alignment horizontal="center"/>
      <protection/>
    </xf>
    <xf numFmtId="0" fontId="9" fillId="2" borderId="0" xfId="0" applyFont="1" applyFill="1" applyAlignment="1">
      <alignment horizontal="right"/>
    </xf>
    <xf numFmtId="3" fontId="9" fillId="2" borderId="1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165" fontId="9" fillId="2" borderId="1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left"/>
      <protection/>
    </xf>
    <xf numFmtId="0" fontId="5" fillId="2" borderId="3" xfId="0" applyFont="1" applyFill="1" applyBorder="1" applyAlignment="1" applyProtection="1">
      <alignment horizontal="center"/>
      <protection/>
    </xf>
    <xf numFmtId="3" fontId="9" fillId="2" borderId="1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w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114300</xdr:rowOff>
    </xdr:from>
    <xdr:to>
      <xdr:col>8</xdr:col>
      <xdr:colOff>352425</xdr:colOff>
      <xdr:row>3</xdr:row>
      <xdr:rowOff>66675</xdr:rowOff>
    </xdr:to>
    <xdr:sp>
      <xdr:nvSpPr>
        <xdr:cNvPr id="1" name="AutoShape 21"/>
        <xdr:cNvSpPr>
          <a:spLocks/>
        </xdr:cNvSpPr>
      </xdr:nvSpPr>
      <xdr:spPr>
        <a:xfrm>
          <a:off x="2381250" y="114300"/>
          <a:ext cx="301942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kern="10" spc="0">
              <a:ln w="9525" cmpd="sng">
                <a:noFill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Wastewater</a:t>
          </a:r>
        </a:p>
      </xdr:txBody>
    </xdr:sp>
    <xdr:clientData/>
  </xdr:twoCellAnchor>
  <xdr:twoCellAnchor>
    <xdr:from>
      <xdr:col>4</xdr:col>
      <xdr:colOff>390525</xdr:colOff>
      <xdr:row>4</xdr:row>
      <xdr:rowOff>0</xdr:rowOff>
    </xdr:from>
    <xdr:to>
      <xdr:col>7</xdr:col>
      <xdr:colOff>95250</xdr:colOff>
      <xdr:row>5</xdr:row>
      <xdr:rowOff>180975</xdr:rowOff>
    </xdr:to>
    <xdr:sp>
      <xdr:nvSpPr>
        <xdr:cNvPr id="2" name="AutoShape 22"/>
        <xdr:cNvSpPr>
          <a:spLocks/>
        </xdr:cNvSpPr>
      </xdr:nvSpPr>
      <xdr:spPr>
        <a:xfrm>
          <a:off x="3000375" y="704850"/>
          <a:ext cx="15335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kern="10" spc="0">
              <a:ln w="9525" cmpd="sng">
                <a:noFill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Formulas</a:t>
          </a:r>
        </a:p>
      </xdr:txBody>
    </xdr:sp>
    <xdr:clientData/>
  </xdr:twoCellAnchor>
  <xdr:twoCellAnchor>
    <xdr:from>
      <xdr:col>2</xdr:col>
      <xdr:colOff>114300</xdr:colOff>
      <xdr:row>4</xdr:row>
      <xdr:rowOff>133350</xdr:rowOff>
    </xdr:from>
    <xdr:to>
      <xdr:col>2</xdr:col>
      <xdr:colOff>247650</xdr:colOff>
      <xdr:row>4</xdr:row>
      <xdr:rowOff>133350</xdr:rowOff>
    </xdr:to>
    <xdr:sp>
      <xdr:nvSpPr>
        <xdr:cNvPr id="3" name="Line 28"/>
        <xdr:cNvSpPr>
          <a:spLocks/>
        </xdr:cNvSpPr>
      </xdr:nvSpPr>
      <xdr:spPr>
        <a:xfrm flipH="1">
          <a:off x="1504950" y="838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4</xdr:row>
      <xdr:rowOff>142875</xdr:rowOff>
    </xdr:from>
    <xdr:to>
      <xdr:col>13</xdr:col>
      <xdr:colOff>485775</xdr:colOff>
      <xdr:row>18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323975"/>
          <a:ext cx="26574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</xdr:row>
      <xdr:rowOff>9525</xdr:rowOff>
    </xdr:from>
    <xdr:to>
      <xdr:col>4</xdr:col>
      <xdr:colOff>209550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2524125" y="962025"/>
          <a:ext cx="123825" cy="990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5</xdr:row>
      <xdr:rowOff>133350</xdr:rowOff>
    </xdr:from>
    <xdr:to>
      <xdr:col>4</xdr:col>
      <xdr:colOff>581025</xdr:colOff>
      <xdr:row>5</xdr:row>
      <xdr:rowOff>133350</xdr:rowOff>
    </xdr:to>
    <xdr:sp>
      <xdr:nvSpPr>
        <xdr:cNvPr id="3" name="Line 3"/>
        <xdr:cNvSpPr>
          <a:spLocks/>
        </xdr:cNvSpPr>
      </xdr:nvSpPr>
      <xdr:spPr>
        <a:xfrm flipH="1">
          <a:off x="2733675" y="15430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15</xdr:row>
      <xdr:rowOff>85725</xdr:rowOff>
    </xdr:from>
    <xdr:to>
      <xdr:col>4</xdr:col>
      <xdr:colOff>76200</xdr:colOff>
      <xdr:row>17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2476500" y="3476625"/>
          <a:ext cx="38100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16</xdr:row>
      <xdr:rowOff>85725</xdr:rowOff>
    </xdr:from>
    <xdr:to>
      <xdr:col>4</xdr:col>
      <xdr:colOff>542925</xdr:colOff>
      <xdr:row>16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2581275" y="3705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76200</xdr:rowOff>
    </xdr:from>
    <xdr:to>
      <xdr:col>12</xdr:col>
      <xdr:colOff>114300</xdr:colOff>
      <xdr:row>1</xdr:row>
      <xdr:rowOff>85725</xdr:rowOff>
    </xdr:to>
    <xdr:sp>
      <xdr:nvSpPr>
        <xdr:cNvPr id="6" name="AutoShape 9"/>
        <xdr:cNvSpPr>
          <a:spLocks/>
        </xdr:cNvSpPr>
      </xdr:nvSpPr>
      <xdr:spPr>
        <a:xfrm>
          <a:off x="333375" y="76200"/>
          <a:ext cx="719137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Chlorinating for Filaments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213</xdr:row>
      <xdr:rowOff>104775</xdr:rowOff>
    </xdr:from>
    <xdr:to>
      <xdr:col>13</xdr:col>
      <xdr:colOff>619125</xdr:colOff>
      <xdr:row>229</xdr:row>
      <xdr:rowOff>133350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36118800"/>
          <a:ext cx="38766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13</xdr:row>
      <xdr:rowOff>123825</xdr:rowOff>
    </xdr:from>
    <xdr:to>
      <xdr:col>9</xdr:col>
      <xdr:colOff>38100</xdr:colOff>
      <xdr:row>27</xdr:row>
      <xdr:rowOff>38100</xdr:rowOff>
    </xdr:to>
    <xdr:grpSp>
      <xdr:nvGrpSpPr>
        <xdr:cNvPr id="2" name="Group 7"/>
        <xdr:cNvGrpSpPr>
          <a:grpSpLocks/>
        </xdr:cNvGrpSpPr>
      </xdr:nvGrpSpPr>
      <xdr:grpSpPr>
        <a:xfrm>
          <a:off x="3228975" y="2362200"/>
          <a:ext cx="1133475" cy="2314575"/>
          <a:chOff x="508" y="254"/>
          <a:chExt cx="117" cy="188"/>
        </a:xfrm>
        <a:solidFill>
          <a:srgbClr val="FFFFFF"/>
        </a:solidFill>
      </xdr:grpSpPr>
      <xdr:sp>
        <xdr:nvSpPr>
          <xdr:cNvPr id="3" name="AutoShape 4"/>
          <xdr:cNvSpPr>
            <a:spLocks/>
          </xdr:cNvSpPr>
        </xdr:nvSpPr>
        <xdr:spPr>
          <a:xfrm>
            <a:off x="508" y="254"/>
            <a:ext cx="101" cy="143"/>
          </a:xfrm>
          <a:prstGeom prst="can">
            <a:avLst>
              <a:gd name="adj" fmla="val -3391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>
            <a:off x="508" y="330"/>
            <a:ext cx="101" cy="65"/>
          </a:xfrm>
          <a:prstGeom prst="can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529" y="277"/>
            <a:ext cx="96" cy="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----1000-----
-----900-----
-----800-----
-----700-----
-----600-----
-----500-----
-----400-----
-----300-----
-----200----
-----100----</a:t>
            </a:r>
          </a:p>
        </xdr:txBody>
      </xdr:sp>
    </xdr:grpSp>
    <xdr:clientData/>
  </xdr:twoCellAnchor>
  <xdr:twoCellAnchor>
    <xdr:from>
      <xdr:col>1</xdr:col>
      <xdr:colOff>95250</xdr:colOff>
      <xdr:row>2</xdr:row>
      <xdr:rowOff>0</xdr:rowOff>
    </xdr:from>
    <xdr:to>
      <xdr:col>3</xdr:col>
      <xdr:colOff>342900</xdr:colOff>
      <xdr:row>6</xdr:row>
      <xdr:rowOff>95250</xdr:rowOff>
    </xdr:to>
    <xdr:sp>
      <xdr:nvSpPr>
        <xdr:cNvPr id="6" name="AutoShape 8"/>
        <xdr:cNvSpPr>
          <a:spLocks/>
        </xdr:cNvSpPr>
      </xdr:nvSpPr>
      <xdr:spPr>
        <a:xfrm>
          <a:off x="704850" y="323850"/>
          <a:ext cx="1514475" cy="742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SVI</a:t>
          </a:r>
        </a:p>
      </xdr:txBody>
    </xdr:sp>
    <xdr:clientData/>
  </xdr:twoCellAnchor>
  <xdr:twoCellAnchor>
    <xdr:from>
      <xdr:col>0</xdr:col>
      <xdr:colOff>409575</xdr:colOff>
      <xdr:row>53</xdr:row>
      <xdr:rowOff>47625</xdr:rowOff>
    </xdr:from>
    <xdr:to>
      <xdr:col>5</xdr:col>
      <xdr:colOff>9525</xdr:colOff>
      <xdr:row>57</xdr:row>
      <xdr:rowOff>47625</xdr:rowOff>
    </xdr:to>
    <xdr:sp>
      <xdr:nvSpPr>
        <xdr:cNvPr id="7" name="AutoShape 9"/>
        <xdr:cNvSpPr>
          <a:spLocks/>
        </xdr:cNvSpPr>
      </xdr:nvSpPr>
      <xdr:spPr>
        <a:xfrm>
          <a:off x="409575" y="8896350"/>
          <a:ext cx="26955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Sludge Age</a:t>
          </a:r>
        </a:p>
      </xdr:txBody>
    </xdr:sp>
    <xdr:clientData/>
  </xdr:twoCellAnchor>
  <xdr:twoCellAnchor>
    <xdr:from>
      <xdr:col>1</xdr:col>
      <xdr:colOff>161925</xdr:colOff>
      <xdr:row>114</xdr:row>
      <xdr:rowOff>133350</xdr:rowOff>
    </xdr:from>
    <xdr:to>
      <xdr:col>4</xdr:col>
      <xdr:colOff>266700</xdr:colOff>
      <xdr:row>119</xdr:row>
      <xdr:rowOff>19050</xdr:rowOff>
    </xdr:to>
    <xdr:sp>
      <xdr:nvSpPr>
        <xdr:cNvPr id="8" name="AutoShape 12"/>
        <xdr:cNvSpPr>
          <a:spLocks/>
        </xdr:cNvSpPr>
      </xdr:nvSpPr>
      <xdr:spPr>
        <a:xfrm>
          <a:off x="771525" y="19259550"/>
          <a:ext cx="1981200" cy="695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MCRT</a:t>
          </a:r>
        </a:p>
      </xdr:txBody>
    </xdr:sp>
    <xdr:clientData/>
  </xdr:twoCellAnchor>
  <xdr:twoCellAnchor>
    <xdr:from>
      <xdr:col>0</xdr:col>
      <xdr:colOff>323850</xdr:colOff>
      <xdr:row>149</xdr:row>
      <xdr:rowOff>76200</xdr:rowOff>
    </xdr:from>
    <xdr:to>
      <xdr:col>12</xdr:col>
      <xdr:colOff>371475</xdr:colOff>
      <xdr:row>153</xdr:row>
      <xdr:rowOff>76200</xdr:rowOff>
    </xdr:to>
    <xdr:sp>
      <xdr:nvSpPr>
        <xdr:cNvPr id="9" name="AutoShape 17"/>
        <xdr:cNvSpPr>
          <a:spLocks/>
        </xdr:cNvSpPr>
      </xdr:nvSpPr>
      <xdr:spPr>
        <a:xfrm>
          <a:off x="323850" y="25536525"/>
          <a:ext cx="62007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Temperature Conversion</a:t>
          </a:r>
        </a:p>
      </xdr:txBody>
    </xdr:sp>
    <xdr:clientData/>
  </xdr:twoCellAnchor>
  <xdr:twoCellAnchor editAs="oneCell">
    <xdr:from>
      <xdr:col>8</xdr:col>
      <xdr:colOff>571500</xdr:colOff>
      <xdr:row>157</xdr:row>
      <xdr:rowOff>104775</xdr:rowOff>
    </xdr:from>
    <xdr:to>
      <xdr:col>13</xdr:col>
      <xdr:colOff>219075</xdr:colOff>
      <xdr:row>173</xdr:row>
      <xdr:rowOff>133350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6860500"/>
          <a:ext cx="26955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204</xdr:row>
      <xdr:rowOff>28575</xdr:rowOff>
    </xdr:from>
    <xdr:to>
      <xdr:col>9</xdr:col>
      <xdr:colOff>200025</xdr:colOff>
      <xdr:row>208</xdr:row>
      <xdr:rowOff>28575</xdr:rowOff>
    </xdr:to>
    <xdr:sp>
      <xdr:nvSpPr>
        <xdr:cNvPr id="11" name="AutoShape 30"/>
        <xdr:cNvSpPr>
          <a:spLocks/>
        </xdr:cNvSpPr>
      </xdr:nvSpPr>
      <xdr:spPr>
        <a:xfrm>
          <a:off x="228600" y="34585275"/>
          <a:ext cx="42957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Food to Mass Ratio</a:t>
          </a:r>
        </a:p>
      </xdr:txBody>
    </xdr:sp>
    <xdr:clientData/>
  </xdr:twoCellAnchor>
  <xdr:twoCellAnchor>
    <xdr:from>
      <xdr:col>4</xdr:col>
      <xdr:colOff>171450</xdr:colOff>
      <xdr:row>262</xdr:row>
      <xdr:rowOff>133350</xdr:rowOff>
    </xdr:from>
    <xdr:to>
      <xdr:col>11</xdr:col>
      <xdr:colOff>266700</xdr:colOff>
      <xdr:row>268</xdr:row>
      <xdr:rowOff>95250</xdr:rowOff>
    </xdr:to>
    <xdr:sp>
      <xdr:nvSpPr>
        <xdr:cNvPr id="12" name="AutoShape 34"/>
        <xdr:cNvSpPr>
          <a:spLocks/>
        </xdr:cNvSpPr>
      </xdr:nvSpPr>
      <xdr:spPr>
        <a:xfrm>
          <a:off x="2657475" y="44481750"/>
          <a:ext cx="3152775" cy="933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Volumes</a:t>
          </a:r>
        </a:p>
      </xdr:txBody>
    </xdr:sp>
    <xdr:clientData/>
  </xdr:twoCellAnchor>
  <xdr:twoCellAnchor editAs="oneCell">
    <xdr:from>
      <xdr:col>7</xdr:col>
      <xdr:colOff>47625</xdr:colOff>
      <xdr:row>269</xdr:row>
      <xdr:rowOff>66675</xdr:rowOff>
    </xdr:from>
    <xdr:to>
      <xdr:col>10</xdr:col>
      <xdr:colOff>533400</xdr:colOff>
      <xdr:row>297</xdr:row>
      <xdr:rowOff>123825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45548550"/>
          <a:ext cx="231457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13</xdr:row>
      <xdr:rowOff>209550</xdr:rowOff>
    </xdr:from>
    <xdr:to>
      <xdr:col>11</xdr:col>
      <xdr:colOff>533400</xdr:colOff>
      <xdr:row>26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609850"/>
          <a:ext cx="33337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11</xdr:row>
      <xdr:rowOff>152400</xdr:rowOff>
    </xdr:from>
    <xdr:to>
      <xdr:col>5</xdr:col>
      <xdr:colOff>9525</xdr:colOff>
      <xdr:row>11</xdr:row>
      <xdr:rowOff>152400</xdr:rowOff>
    </xdr:to>
    <xdr:sp>
      <xdr:nvSpPr>
        <xdr:cNvPr id="2" name="Line 1"/>
        <xdr:cNvSpPr>
          <a:spLocks/>
        </xdr:cNvSpPr>
      </xdr:nvSpPr>
      <xdr:spPr>
        <a:xfrm flipH="1">
          <a:off x="2886075" y="20955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66675</xdr:rowOff>
    </xdr:from>
    <xdr:to>
      <xdr:col>4</xdr:col>
      <xdr:colOff>142875</xdr:colOff>
      <xdr:row>14</xdr:row>
      <xdr:rowOff>9525</xdr:rowOff>
    </xdr:to>
    <xdr:sp>
      <xdr:nvSpPr>
        <xdr:cNvPr id="3" name="AutoShape 2"/>
        <xdr:cNvSpPr>
          <a:spLocks/>
        </xdr:cNvSpPr>
      </xdr:nvSpPr>
      <xdr:spPr>
        <a:xfrm>
          <a:off x="2676525" y="1619250"/>
          <a:ext cx="57150" cy="1019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</xdr:row>
      <xdr:rowOff>57150</xdr:rowOff>
    </xdr:from>
    <xdr:to>
      <xdr:col>8</xdr:col>
      <xdr:colOff>400050</xdr:colOff>
      <xdr:row>5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466725" y="219075"/>
          <a:ext cx="49625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Weir Overflow Rate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123825</xdr:rowOff>
    </xdr:from>
    <xdr:to>
      <xdr:col>4</xdr:col>
      <xdr:colOff>209550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943225" y="1676400"/>
          <a:ext cx="66675" cy="971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11</xdr:row>
      <xdr:rowOff>142875</xdr:rowOff>
    </xdr:from>
    <xdr:to>
      <xdr:col>5</xdr:col>
      <xdr:colOff>171450</xdr:colOff>
      <xdr:row>11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3086100" y="2085975"/>
          <a:ext cx="495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142875</xdr:rowOff>
    </xdr:from>
    <xdr:to>
      <xdr:col>6</xdr:col>
      <xdr:colOff>9525</xdr:colOff>
      <xdr:row>5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200025" y="304800"/>
          <a:ext cx="38290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Detention Time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28575</xdr:rowOff>
    </xdr:from>
    <xdr:to>
      <xdr:col>3</xdr:col>
      <xdr:colOff>190500</xdr:colOff>
      <xdr:row>8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1876425" y="933450"/>
          <a:ext cx="142875" cy="723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6</xdr:row>
      <xdr:rowOff>142875</xdr:rowOff>
    </xdr:from>
    <xdr:to>
      <xdr:col>3</xdr:col>
      <xdr:colOff>647700</xdr:colOff>
      <xdr:row>6</xdr:row>
      <xdr:rowOff>142875</xdr:rowOff>
    </xdr:to>
    <xdr:sp>
      <xdr:nvSpPr>
        <xdr:cNvPr id="2" name="Line 6"/>
        <xdr:cNvSpPr>
          <a:spLocks/>
        </xdr:cNvSpPr>
      </xdr:nvSpPr>
      <xdr:spPr>
        <a:xfrm flipH="1">
          <a:off x="2105025" y="12763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133350</xdr:rowOff>
    </xdr:from>
    <xdr:to>
      <xdr:col>9</xdr:col>
      <xdr:colOff>238125</xdr:colOff>
      <xdr:row>3</xdr:row>
      <xdr:rowOff>76200</xdr:rowOff>
    </xdr:to>
    <xdr:sp>
      <xdr:nvSpPr>
        <xdr:cNvPr id="3" name="AutoShape 11"/>
        <xdr:cNvSpPr>
          <a:spLocks/>
        </xdr:cNvSpPr>
      </xdr:nvSpPr>
      <xdr:spPr>
        <a:xfrm>
          <a:off x="247650" y="133350"/>
          <a:ext cx="50196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Return Sludge Rate By SVI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7</xdr:row>
      <xdr:rowOff>219075</xdr:rowOff>
    </xdr:from>
    <xdr:to>
      <xdr:col>11</xdr:col>
      <xdr:colOff>104775</xdr:colOff>
      <xdr:row>19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344324">
          <a:off x="3838575" y="2571750"/>
          <a:ext cx="25146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</xdr:row>
      <xdr:rowOff>123825</xdr:rowOff>
    </xdr:from>
    <xdr:to>
      <xdr:col>3</xdr:col>
      <xdr:colOff>190500</xdr:colOff>
      <xdr:row>5</xdr:row>
      <xdr:rowOff>104775</xdr:rowOff>
    </xdr:to>
    <xdr:sp>
      <xdr:nvSpPr>
        <xdr:cNvPr id="2" name="AutoShape 5"/>
        <xdr:cNvSpPr>
          <a:spLocks/>
        </xdr:cNvSpPr>
      </xdr:nvSpPr>
      <xdr:spPr>
        <a:xfrm>
          <a:off x="2038350" y="1400175"/>
          <a:ext cx="133350" cy="600075"/>
        </a:xfrm>
        <a:prstGeom prst="rightBracket">
          <a:avLst>
            <a:gd name="adj" fmla="val -45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</xdr:row>
      <xdr:rowOff>152400</xdr:rowOff>
    </xdr:from>
    <xdr:to>
      <xdr:col>3</xdr:col>
      <xdr:colOff>561975</xdr:colOff>
      <xdr:row>3</xdr:row>
      <xdr:rowOff>152400</xdr:rowOff>
    </xdr:to>
    <xdr:sp>
      <xdr:nvSpPr>
        <xdr:cNvPr id="3" name="Line 6"/>
        <xdr:cNvSpPr>
          <a:spLocks/>
        </xdr:cNvSpPr>
      </xdr:nvSpPr>
      <xdr:spPr>
        <a:xfrm flipH="1">
          <a:off x="2247900" y="1590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66675</xdr:rowOff>
    </xdr:from>
    <xdr:to>
      <xdr:col>11</xdr:col>
      <xdr:colOff>85725</xdr:colOff>
      <xdr:row>1</xdr:row>
      <xdr:rowOff>28575</xdr:rowOff>
    </xdr:to>
    <xdr:sp>
      <xdr:nvSpPr>
        <xdr:cNvPr id="4" name="AutoShape 10"/>
        <xdr:cNvSpPr>
          <a:spLocks/>
        </xdr:cNvSpPr>
      </xdr:nvSpPr>
      <xdr:spPr>
        <a:xfrm>
          <a:off x="304800" y="66675"/>
          <a:ext cx="6029325" cy="1076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gradFill rotWithShape="1">
                <a:gsLst>
                  <a:gs pos="0">
                    <a:srgbClr val="66FFFF"/>
                  </a:gs>
                  <a:gs pos="100000">
                    <a:srgbClr val="2F7575"/>
                  </a:gs>
                </a:gsLst>
                <a:lin ang="5400000" scaled="1"/>
              </a:gradFill>
              <a:latin typeface="Arial Black"/>
              <a:cs typeface="Arial Black"/>
            </a:rPr>
            <a:t>Return Sludge Rate By Settleability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5</xdr:row>
      <xdr:rowOff>66675</xdr:rowOff>
    </xdr:from>
    <xdr:to>
      <xdr:col>4</xdr:col>
      <xdr:colOff>200025</xdr:colOff>
      <xdr:row>9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562225" y="1695450"/>
          <a:ext cx="123825" cy="914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95250</xdr:rowOff>
    </xdr:from>
    <xdr:to>
      <xdr:col>4</xdr:col>
      <xdr:colOff>581025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2752725" y="21812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</xdr:row>
      <xdr:rowOff>85725</xdr:rowOff>
    </xdr:from>
    <xdr:to>
      <xdr:col>7</xdr:col>
      <xdr:colOff>457200</xdr:colOff>
      <xdr:row>1</xdr:row>
      <xdr:rowOff>733425</xdr:rowOff>
    </xdr:to>
    <xdr:sp>
      <xdr:nvSpPr>
        <xdr:cNvPr id="3" name="AutoShape 7"/>
        <xdr:cNvSpPr>
          <a:spLocks/>
        </xdr:cNvSpPr>
      </xdr:nvSpPr>
      <xdr:spPr>
        <a:xfrm>
          <a:off x="409575" y="247650"/>
          <a:ext cx="38481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Constant MLSS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8</xdr:row>
      <xdr:rowOff>9525</xdr:rowOff>
    </xdr:from>
    <xdr:to>
      <xdr:col>4</xdr:col>
      <xdr:colOff>238125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600325" y="1419225"/>
          <a:ext cx="76200" cy="12477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10</xdr:row>
      <xdr:rowOff>123825</xdr:rowOff>
    </xdr:from>
    <xdr:to>
      <xdr:col>4</xdr:col>
      <xdr:colOff>581025</xdr:colOff>
      <xdr:row>10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781300" y="1990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142875</xdr:rowOff>
    </xdr:from>
    <xdr:to>
      <xdr:col>7</xdr:col>
      <xdr:colOff>219075</xdr:colOff>
      <xdr:row>5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619125" y="304800"/>
          <a:ext cx="32575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Constant F/M</a:t>
          </a:r>
        </a:p>
      </xdr:txBody>
    </xdr:sp>
    <xdr:clientData/>
  </xdr:twoCellAnchor>
  <xdr:twoCellAnchor editAs="oneCell">
    <xdr:from>
      <xdr:col>7</xdr:col>
      <xdr:colOff>276225</xdr:colOff>
      <xdr:row>11</xdr:row>
      <xdr:rowOff>28575</xdr:rowOff>
    </xdr:from>
    <xdr:to>
      <xdr:col>10</xdr:col>
      <xdr:colOff>9525</xdr:colOff>
      <xdr:row>22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124075"/>
          <a:ext cx="15621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</xdr:row>
      <xdr:rowOff>123825</xdr:rowOff>
    </xdr:from>
    <xdr:to>
      <xdr:col>4</xdr:col>
      <xdr:colOff>180975</xdr:colOff>
      <xdr:row>9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105150" y="1428750"/>
          <a:ext cx="76200" cy="1314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85725</xdr:rowOff>
    </xdr:from>
    <xdr:to>
      <xdr:col>4</xdr:col>
      <xdr:colOff>571500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3238500" y="2076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171450</xdr:rowOff>
    </xdr:from>
    <xdr:to>
      <xdr:col>9</xdr:col>
      <xdr:colOff>276225</xdr:colOff>
      <xdr:row>0</xdr:row>
      <xdr:rowOff>819150</xdr:rowOff>
    </xdr:to>
    <xdr:sp>
      <xdr:nvSpPr>
        <xdr:cNvPr id="3" name="AutoShape 5"/>
        <xdr:cNvSpPr>
          <a:spLocks/>
        </xdr:cNvSpPr>
      </xdr:nvSpPr>
      <xdr:spPr>
        <a:xfrm>
          <a:off x="495300" y="171450"/>
          <a:ext cx="52197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Constant Sludge Age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</xdr:row>
      <xdr:rowOff>114300</xdr:rowOff>
    </xdr:from>
    <xdr:to>
      <xdr:col>4</xdr:col>
      <xdr:colOff>209550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067050" y="1181100"/>
          <a:ext cx="76200" cy="12477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5</xdr:row>
      <xdr:rowOff>133350</xdr:rowOff>
    </xdr:from>
    <xdr:to>
      <xdr:col>5</xdr:col>
      <xdr:colOff>209550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3286125" y="1819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104775</xdr:rowOff>
    </xdr:from>
    <xdr:to>
      <xdr:col>6</xdr:col>
      <xdr:colOff>371475</xdr:colOff>
      <xdr:row>0</xdr:row>
      <xdr:rowOff>752475</xdr:rowOff>
    </xdr:to>
    <xdr:sp>
      <xdr:nvSpPr>
        <xdr:cNvPr id="3" name="AutoShape 5"/>
        <xdr:cNvSpPr>
          <a:spLocks/>
        </xdr:cNvSpPr>
      </xdr:nvSpPr>
      <xdr:spPr>
        <a:xfrm>
          <a:off x="657225" y="104775"/>
          <a:ext cx="38671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Constant MCRT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19"/>
  <sheetViews>
    <sheetView showGridLines="0" showRowColHeaders="0" tabSelected="1" zoomScale="125" zoomScaleNormal="125" workbookViewId="0" topLeftCell="A1">
      <selection activeCell="C2" sqref="C2"/>
    </sheetView>
  </sheetViews>
  <sheetFormatPr defaultColWidth="9.140625" defaultRowHeight="12.75"/>
  <cols>
    <col min="1" max="1" width="11.7109375" style="48" customWidth="1"/>
    <col min="2" max="9" width="9.140625" style="48" customWidth="1"/>
    <col min="10" max="10" width="12.140625" style="48" bestFit="1" customWidth="1"/>
    <col min="11" max="16384" width="9.140625" style="48" customWidth="1"/>
  </cols>
  <sheetData>
    <row r="1" ht="12" customHeight="1"/>
    <row r="2" ht="12.75" customHeight="1"/>
    <row r="3" spans="1:11" ht="18">
      <c r="A3" s="53" t="s">
        <v>14</v>
      </c>
      <c r="B3" s="64"/>
      <c r="J3" s="69">
        <f ca="1">NOW()</f>
        <v>38336.336396527775</v>
      </c>
      <c r="K3" s="69"/>
    </row>
    <row r="4" spans="2:11" ht="12.75"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2" ht="18.75">
      <c r="A5" s="53" t="s">
        <v>33</v>
      </c>
      <c r="B5" s="64"/>
      <c r="C5" s="76" t="s">
        <v>87</v>
      </c>
      <c r="D5" s="76"/>
      <c r="E5" s="72"/>
      <c r="F5" s="72"/>
      <c r="G5" s="72"/>
      <c r="H5" s="72"/>
      <c r="J5" s="52" t="s">
        <v>84</v>
      </c>
      <c r="K5" s="52"/>
      <c r="L5" s="53"/>
    </row>
    <row r="6" spans="3:12" ht="18.75" customHeight="1">
      <c r="C6" s="49"/>
      <c r="E6" s="73"/>
      <c r="F6" s="74"/>
      <c r="G6" s="74"/>
      <c r="H6" s="74"/>
      <c r="I6" s="51"/>
      <c r="J6" s="75" t="s">
        <v>85</v>
      </c>
      <c r="K6" s="76"/>
      <c r="L6" s="53"/>
    </row>
    <row r="7" spans="1:11" ht="12.75" customHeight="1">
      <c r="A7" s="53" t="s">
        <v>86</v>
      </c>
      <c r="B7" s="64"/>
      <c r="F7" s="52"/>
      <c r="G7" s="52"/>
      <c r="H7" s="53"/>
      <c r="I7" s="51"/>
      <c r="J7" s="51"/>
      <c r="K7" s="51"/>
    </row>
    <row r="8" spans="6:8" ht="12.75">
      <c r="F8" s="75"/>
      <c r="G8" s="76"/>
      <c r="H8" s="53"/>
    </row>
    <row r="9" spans="2:11" ht="19.5" thickBot="1">
      <c r="B9" s="70" t="s">
        <v>63</v>
      </c>
      <c r="C9" s="70"/>
      <c r="D9" s="70"/>
      <c r="F9" s="71" t="s">
        <v>65</v>
      </c>
      <c r="G9" s="71"/>
      <c r="I9" s="70" t="s">
        <v>64</v>
      </c>
      <c r="J9" s="70"/>
      <c r="K9" s="70"/>
    </row>
    <row r="10" ht="13.5" thickTop="1"/>
    <row r="11" ht="12.75"/>
    <row r="12" ht="12.75"/>
    <row r="13" ht="12.75"/>
    <row r="14" ht="12.75"/>
    <row r="15" ht="12.75"/>
    <row r="16" ht="12.75"/>
    <row r="17" ht="12.75"/>
    <row r="18" ht="12.75"/>
    <row r="19" spans="9:11" ht="12.75">
      <c r="I19" s="68"/>
      <c r="J19" s="68"/>
      <c r="K19" s="68"/>
    </row>
    <row r="20" ht="12.75"/>
    <row r="29" ht="12.75"/>
  </sheetData>
  <sheetProtection sheet="1" objects="1" scenarios="1" selectLockedCells="1"/>
  <mergeCells count="10">
    <mergeCell ref="I19:K19"/>
    <mergeCell ref="J3:K3"/>
    <mergeCell ref="B9:D9"/>
    <mergeCell ref="I9:K9"/>
    <mergeCell ref="F9:G9"/>
    <mergeCell ref="E5:H5"/>
    <mergeCell ref="E6:H6"/>
    <mergeCell ref="F8:G8"/>
    <mergeCell ref="J6:K6"/>
    <mergeCell ref="C5:D5"/>
  </mergeCells>
  <dataValidations count="3">
    <dataValidation type="decimal" allowBlank="1" showInputMessage="1" showErrorMessage="1" errorTitle="Aeration volume must be in MG" error="Volume must be entered in MG&#10;Example: 500,000 = .500" sqref="B3">
      <formula1>0.001</formula1>
      <formula2>3</formula2>
    </dataValidation>
    <dataValidation type="decimal" allowBlank="1" showInputMessage="1" showErrorMessage="1" errorTitle="Clarifier volume must be in MG" error="Volume must be in MG&#10;Example: 500,000 = .500" sqref="B5">
      <formula1>0.001</formula1>
      <formula2>3</formula2>
    </dataValidation>
    <dataValidation type="decimal" allowBlank="1" showInputMessage="1" showErrorMessage="1" errorTitle="Flow must be entered in MG" error="Enter Flow in MG&#10;Example: 500,000 = .500" sqref="B7">
      <formula1>0.0001</formula1>
      <formula2>3</formula2>
    </dataValidation>
  </dataValidations>
  <printOptions/>
  <pageMargins left="0.75" right="0.75" top="1" bottom="1" header="0.5" footer="0.5"/>
  <pageSetup horizontalDpi="360" verticalDpi="360" orientation="portrait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B1:J17"/>
  <sheetViews>
    <sheetView showGridLines="0" showRowColHeaders="0" workbookViewId="0" topLeftCell="A1">
      <selection activeCell="D4" sqref="D4"/>
    </sheetView>
  </sheetViews>
  <sheetFormatPr defaultColWidth="9.140625" defaultRowHeight="12.75"/>
  <cols>
    <col min="1" max="1" width="7.7109375" style="6" customWidth="1"/>
    <col min="2" max="2" width="9.140625" style="6" customWidth="1"/>
    <col min="3" max="3" width="11.57421875" style="6" customWidth="1"/>
    <col min="4" max="4" width="15.57421875" style="6" customWidth="1"/>
    <col min="5" max="6" width="9.140625" style="6" customWidth="1"/>
    <col min="7" max="7" width="11.00390625" style="6" customWidth="1"/>
    <col min="8" max="9" width="9.140625" style="6" customWidth="1"/>
    <col min="10" max="10" width="0" style="6" hidden="1" customWidth="1"/>
    <col min="11" max="16384" width="9.140625" style="6" customWidth="1"/>
  </cols>
  <sheetData>
    <row r="1" spans="3:9" ht="71.25" customHeight="1">
      <c r="C1" s="9"/>
      <c r="D1" s="12"/>
      <c r="E1" s="12"/>
      <c r="F1" s="80"/>
      <c r="G1" s="80"/>
      <c r="H1" s="80"/>
      <c r="I1" s="80"/>
    </row>
    <row r="2" ht="12.75"/>
    <row r="3" ht="12.75"/>
    <row r="4" spans="2:10" ht="18">
      <c r="B4" s="45" t="s">
        <v>14</v>
      </c>
      <c r="C4" s="29"/>
      <c r="D4" s="39">
        <f>Sheet1!B3</f>
        <v>0</v>
      </c>
      <c r="J4" s="6">
        <f>D6*D4*8.34</f>
        <v>0</v>
      </c>
    </row>
    <row r="5" spans="2:10" ht="18">
      <c r="B5" s="45" t="s">
        <v>33</v>
      </c>
      <c r="C5" s="29"/>
      <c r="D5" s="40">
        <f>Sheet1!B5</f>
        <v>0</v>
      </c>
      <c r="J5" s="6">
        <f>D6*D5*8.34</f>
        <v>0</v>
      </c>
    </row>
    <row r="6" spans="2:8" ht="18">
      <c r="B6" s="45" t="s">
        <v>1</v>
      </c>
      <c r="C6" s="29"/>
      <c r="D6" s="30"/>
      <c r="E6" s="15"/>
      <c r="F6" s="77" t="s">
        <v>7</v>
      </c>
      <c r="G6" s="77"/>
      <c r="H6" s="77"/>
    </row>
    <row r="7" spans="2:4" ht="18">
      <c r="B7" s="45" t="s">
        <v>27</v>
      </c>
      <c r="C7" s="29"/>
      <c r="D7" s="30"/>
    </row>
    <row r="8" spans="2:10" ht="18">
      <c r="B8" s="45" t="s">
        <v>34</v>
      </c>
      <c r="C8" s="29"/>
      <c r="D8" s="30"/>
      <c r="J8" s="6">
        <f>D8*D7*8.34</f>
        <v>0</v>
      </c>
    </row>
    <row r="13" spans="2:4" ht="18">
      <c r="B13" s="15" t="s">
        <v>35</v>
      </c>
      <c r="C13" s="15"/>
      <c r="D13" s="38">
        <f>IF(ISERROR(J16/J8),"",J16/J8)</f>
      </c>
    </row>
    <row r="14" spans="2:4" ht="18">
      <c r="B14" s="15"/>
      <c r="C14" s="15"/>
      <c r="D14" s="44"/>
    </row>
    <row r="15" spans="2:8" ht="18">
      <c r="B15" s="15" t="s">
        <v>17</v>
      </c>
      <c r="C15" s="15"/>
      <c r="D15" s="46">
        <f>IF(ISERROR(D13*1000000),"",D13*1000000)</f>
      </c>
      <c r="H15" s="8"/>
    </row>
    <row r="16" spans="2:10" ht="18">
      <c r="B16" s="15"/>
      <c r="C16" s="15"/>
      <c r="D16" s="44"/>
      <c r="J16" s="6">
        <f>J4+J5</f>
        <v>0</v>
      </c>
    </row>
    <row r="17" spans="2:4" ht="18">
      <c r="B17" s="15" t="s">
        <v>36</v>
      </c>
      <c r="C17" s="15"/>
      <c r="D17" s="31">
        <f>IF(ISERROR(D15/1440),"",D15/1440)</f>
      </c>
    </row>
  </sheetData>
  <sheetProtection sheet="1" objects="1" scenarios="1" selectLockedCells="1"/>
  <mergeCells count="2">
    <mergeCell ref="F1:I1"/>
    <mergeCell ref="F6:H6"/>
  </mergeCells>
  <printOptions/>
  <pageMargins left="0.75" right="0.75" top="1" bottom="1" header="0.5" footer="0.5"/>
  <pageSetup orientation="portrait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9"/>
  <sheetViews>
    <sheetView showGridLines="0" showRowColHeaders="0" workbookViewId="0" topLeftCell="A1">
      <selection activeCell="D4" sqref="D4"/>
    </sheetView>
  </sheetViews>
  <sheetFormatPr defaultColWidth="9.140625" defaultRowHeight="12.75"/>
  <cols>
    <col min="1" max="5" width="9.140625" style="6" customWidth="1"/>
    <col min="6" max="6" width="19.57421875" style="6" bestFit="1" customWidth="1"/>
    <col min="7" max="7" width="0.13671875" style="6" customWidth="1"/>
    <col min="8" max="16384" width="9.140625" style="6" customWidth="1"/>
  </cols>
  <sheetData>
    <row r="1" spans="3:12" ht="49.5" customHeight="1">
      <c r="C1" s="9"/>
      <c r="D1" s="9"/>
      <c r="E1" s="9"/>
      <c r="F1" s="9"/>
      <c r="G1" s="9"/>
      <c r="I1" s="80"/>
      <c r="J1" s="80"/>
      <c r="K1" s="80"/>
      <c r="L1" s="80"/>
    </row>
    <row r="2" ht="12.75"/>
    <row r="3" ht="12.75"/>
    <row r="4" spans="1:4" ht="18">
      <c r="A4" s="8"/>
      <c r="B4" s="85" t="s">
        <v>14</v>
      </c>
      <c r="C4" s="85"/>
      <c r="D4" s="28">
        <f>Sheet1!B3</f>
        <v>0</v>
      </c>
    </row>
    <row r="5" spans="1:7" ht="18">
      <c r="A5" s="8"/>
      <c r="B5" s="85" t="s">
        <v>33</v>
      </c>
      <c r="C5" s="85"/>
      <c r="D5" s="30">
        <f>Sheet1!B5</f>
        <v>0</v>
      </c>
      <c r="G5" s="6">
        <f>(D4+D5)*D6*8.34</f>
        <v>0</v>
      </c>
    </row>
    <row r="6" spans="1:7" ht="18">
      <c r="A6" s="8"/>
      <c r="B6" s="85" t="s">
        <v>1</v>
      </c>
      <c r="C6" s="85"/>
      <c r="D6" s="30"/>
      <c r="F6" s="32" t="s">
        <v>7</v>
      </c>
      <c r="G6" s="6">
        <f>G5/1000</f>
        <v>0</v>
      </c>
    </row>
    <row r="7" spans="1:4" ht="18">
      <c r="A7" s="85" t="s">
        <v>37</v>
      </c>
      <c r="B7" s="85"/>
      <c r="C7" s="85"/>
      <c r="D7" s="30"/>
    </row>
    <row r="8" spans="2:4" ht="18">
      <c r="B8" s="15" t="s">
        <v>38</v>
      </c>
      <c r="C8" s="15"/>
      <c r="D8" s="27"/>
    </row>
    <row r="9" ht="12.75"/>
    <row r="10" ht="12.75"/>
    <row r="11" spans="1:5" ht="18">
      <c r="A11" s="85" t="s">
        <v>39</v>
      </c>
      <c r="B11" s="85"/>
      <c r="C11" s="85"/>
      <c r="D11" s="85"/>
      <c r="E11" s="23">
        <f>G6*D7</f>
        <v>0</v>
      </c>
    </row>
    <row r="12" ht="12.75"/>
    <row r="13" ht="12.75"/>
    <row r="14" spans="3:7" ht="20.25">
      <c r="C14" s="9" t="s">
        <v>40</v>
      </c>
      <c r="D14" s="9"/>
      <c r="E14" s="9"/>
      <c r="F14" s="9"/>
      <c r="G14" s="9"/>
    </row>
    <row r="15" ht="12.75"/>
    <row r="16" spans="1:7" ht="18">
      <c r="A16" s="85" t="s">
        <v>41</v>
      </c>
      <c r="B16" s="85"/>
      <c r="C16" s="85"/>
      <c r="D16" s="28"/>
      <c r="G16" s="6">
        <f>D16*D17*8.34</f>
        <v>0</v>
      </c>
    </row>
    <row r="17" spans="1:6" ht="18">
      <c r="A17" s="8"/>
      <c r="B17" s="29" t="s">
        <v>3</v>
      </c>
      <c r="C17" s="29"/>
      <c r="D17" s="28"/>
      <c r="F17" s="32" t="s">
        <v>43</v>
      </c>
    </row>
    <row r="18" spans="2:4" ht="18">
      <c r="B18" s="15"/>
      <c r="C18" s="15"/>
      <c r="D18" s="15"/>
    </row>
    <row r="19" spans="2:10" ht="18">
      <c r="B19" s="20" t="s">
        <v>42</v>
      </c>
      <c r="C19" s="20"/>
      <c r="D19" s="31">
        <f>IF(ISERROR(G16/G5),"",G16/G5)</f>
      </c>
      <c r="F19" s="79">
        <f>IF(D17="","",IF(D19&lt;=3,"Several Additon points may be needed","Add Chlorine to return Sludge"))</f>
      </c>
      <c r="G19" s="79"/>
      <c r="H19" s="79"/>
      <c r="I19" s="79"/>
      <c r="J19" s="79"/>
    </row>
  </sheetData>
  <sheetProtection sheet="1" objects="1" scenarios="1" selectLockedCells="1"/>
  <mergeCells count="8">
    <mergeCell ref="I1:L1"/>
    <mergeCell ref="F19:J19"/>
    <mergeCell ref="A7:C7"/>
    <mergeCell ref="A11:D11"/>
    <mergeCell ref="A16:C16"/>
    <mergeCell ref="B4:C4"/>
    <mergeCell ref="B5:C5"/>
    <mergeCell ref="B6:C6"/>
  </mergeCells>
  <conditionalFormatting sqref="F19:J19">
    <cfRule type="cellIs" priority="1" dxfId="0" operator="equal" stopIfTrue="1">
      <formula>"Add chlorine to return Sludge"</formula>
    </cfRule>
    <cfRule type="cellIs" priority="2" dxfId="1" operator="equal" stopIfTrue="1">
      <formula>"Several additon points may be needed"</formula>
    </cfRule>
  </conditionalFormatting>
  <dataValidations count="1">
    <dataValidation type="whole" allowBlank="1" showInputMessage="1" showErrorMessage="1" errorTitle="Stop" error="You should chose a dose of between 3 - 5 lbs for chlorination of filaments. A higher dose could destroy benifical organisms." sqref="D7">
      <formula1>3</formula1>
      <formula2>5</formula2>
    </dataValidation>
  </dataValidations>
  <printOptions/>
  <pageMargins left="0.75" right="0.75" top="1" bottom="1" header="0.5" footer="0.5"/>
  <pageSetup orientation="portrait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6:O281"/>
  <sheetViews>
    <sheetView showGridLines="0" showRowColHeaders="0" workbookViewId="0" topLeftCell="A107">
      <selection activeCell="D124" sqref="D124"/>
    </sheetView>
  </sheetViews>
  <sheetFormatPr defaultColWidth="9.140625" defaultRowHeight="12.75"/>
  <cols>
    <col min="1" max="1" width="9.140625" style="6" customWidth="1"/>
    <col min="2" max="2" width="9.8515625" style="6" customWidth="1"/>
    <col min="3" max="5" width="9.140625" style="6" customWidth="1"/>
    <col min="6" max="6" width="0.13671875" style="6" customWidth="1"/>
    <col min="7" max="7" width="9.140625" style="6" hidden="1" customWidth="1"/>
    <col min="8" max="13" width="9.140625" style="6" customWidth="1"/>
    <col min="14" max="14" width="14.00390625" style="6" customWidth="1"/>
    <col min="15" max="15" width="9.140625" style="6" hidden="1" customWidth="1"/>
    <col min="16" max="16384" width="9.140625" style="6" customWidth="1"/>
  </cols>
  <sheetData>
    <row r="4" ht="12.75"/>
    <row r="5" ht="12.75"/>
    <row r="6" spans="2:4" ht="12.75">
      <c r="B6" s="87"/>
      <c r="C6" s="87"/>
      <c r="D6" s="11"/>
    </row>
    <row r="7" spans="2:4" ht="12.75">
      <c r="B7" s="87"/>
      <c r="C7" s="87"/>
      <c r="D7" s="11"/>
    </row>
    <row r="8" spans="2:4" ht="12.75">
      <c r="B8" s="8"/>
      <c r="C8" s="8"/>
      <c r="D8" s="8"/>
    </row>
    <row r="9" spans="2:4" ht="12.75">
      <c r="B9" s="87"/>
      <c r="C9" s="87"/>
      <c r="D9" s="33"/>
    </row>
    <row r="11" ht="12.75"/>
    <row r="12" spans="2:4" ht="18">
      <c r="B12" s="85" t="s">
        <v>44</v>
      </c>
      <c r="C12" s="85"/>
      <c r="D12" s="28"/>
    </row>
    <row r="13" spans="2:4" ht="18">
      <c r="B13" s="85" t="s">
        <v>1</v>
      </c>
      <c r="C13" s="85"/>
      <c r="D13" s="28"/>
    </row>
    <row r="14" spans="2:4" ht="18">
      <c r="B14" s="8"/>
      <c r="C14" s="8"/>
      <c r="D14" s="29"/>
    </row>
    <row r="15" spans="2:4" ht="18">
      <c r="B15" s="85" t="s">
        <v>0</v>
      </c>
      <c r="C15" s="85"/>
      <c r="D15" s="31">
        <f>IF(D13="","",D12/D13*1000)</f>
      </c>
    </row>
    <row r="16" ht="12.75"/>
    <row r="17" ht="12.75">
      <c r="D17" s="61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54" spans="2:4" ht="12.75">
      <c r="B54" s="87"/>
      <c r="C54" s="87"/>
      <c r="D54" s="8"/>
    </row>
    <row r="55" spans="2:4" ht="12.75">
      <c r="B55" s="87"/>
      <c r="C55" s="87"/>
      <c r="D55" s="8"/>
    </row>
    <row r="56" spans="2:4" ht="12.75">
      <c r="B56" s="87"/>
      <c r="C56" s="87"/>
      <c r="D56" s="8"/>
    </row>
    <row r="57" spans="2:4" ht="12.75">
      <c r="B57" s="87"/>
      <c r="C57" s="87"/>
      <c r="D57" s="8"/>
    </row>
    <row r="58" spans="2:4" ht="12.75">
      <c r="B58" s="8"/>
      <c r="C58" s="8"/>
      <c r="D58" s="8"/>
    </row>
    <row r="59" spans="2:4" ht="12.75">
      <c r="B59" s="8"/>
      <c r="C59" s="8"/>
      <c r="D59" s="33"/>
    </row>
    <row r="62" ht="12.75"/>
    <row r="63" spans="2:6" ht="18">
      <c r="B63" s="85" t="s">
        <v>45</v>
      </c>
      <c r="C63" s="85"/>
      <c r="D63" s="20">
        <f>Sheet1!B7</f>
        <v>0</v>
      </c>
      <c r="E63" s="8"/>
      <c r="F63" s="8">
        <f>D63*D64*8.34</f>
        <v>0</v>
      </c>
    </row>
    <row r="64" spans="2:6" ht="18">
      <c r="B64" s="85" t="s">
        <v>46</v>
      </c>
      <c r="C64" s="85"/>
      <c r="D64" s="34"/>
      <c r="E64" s="8"/>
      <c r="F64" s="8">
        <f>D65*D66*8.34</f>
        <v>0</v>
      </c>
    </row>
    <row r="65" spans="2:6" ht="18">
      <c r="B65" s="85" t="s">
        <v>1</v>
      </c>
      <c r="C65" s="85"/>
      <c r="D65" s="34"/>
      <c r="E65" s="8"/>
      <c r="F65" s="8"/>
    </row>
    <row r="66" spans="2:6" ht="18">
      <c r="B66" s="85" t="s">
        <v>22</v>
      </c>
      <c r="C66" s="85"/>
      <c r="D66" s="54">
        <f>Sheet1!B3</f>
        <v>0</v>
      </c>
      <c r="E66" s="8"/>
      <c r="F66" s="8"/>
    </row>
    <row r="67" spans="2:6" ht="18">
      <c r="B67" s="29"/>
      <c r="C67" s="29"/>
      <c r="D67" s="29"/>
      <c r="E67" s="8"/>
      <c r="F67" s="8"/>
    </row>
    <row r="68" spans="1:6" ht="18">
      <c r="A68" s="85" t="s">
        <v>47</v>
      </c>
      <c r="B68" s="85"/>
      <c r="C68" s="85"/>
      <c r="D68" s="31">
        <f>IF(ISERROR(F64/F63),"",F64/F63)</f>
      </c>
      <c r="E68" s="8"/>
      <c r="F68" s="8"/>
    </row>
    <row r="70" ht="12.75">
      <c r="D70" s="61"/>
    </row>
    <row r="118" ht="12.75"/>
    <row r="119" ht="12.75"/>
    <row r="123" ht="12.75"/>
    <row r="124" spans="2:7" ht="18">
      <c r="B124" s="88" t="s">
        <v>73</v>
      </c>
      <c r="C124" s="88"/>
      <c r="D124" s="28"/>
      <c r="E124" s="11"/>
      <c r="G124" s="6" t="e">
        <f>D125+D126</f>
        <v>#VALUE!</v>
      </c>
    </row>
    <row r="125" spans="1:7" ht="18">
      <c r="A125" s="85" t="s">
        <v>50</v>
      </c>
      <c r="B125" s="85"/>
      <c r="C125" s="85"/>
      <c r="D125" s="40">
        <f>IF(Sheet1!B3="","",Sheet1!B3)</f>
      </c>
      <c r="E125" s="11"/>
      <c r="G125" s="6" t="e">
        <f>D124*G124*8.34</f>
        <v>#VALUE!</v>
      </c>
    </row>
    <row r="126" spans="1:5" ht="18">
      <c r="A126" s="85" t="s">
        <v>51</v>
      </c>
      <c r="B126" s="85"/>
      <c r="C126" s="85"/>
      <c r="D126" s="40">
        <f>IF(Sheet1!B5="","",Sheet1!B5)</f>
      </c>
      <c r="E126" s="11"/>
    </row>
    <row r="127" spans="1:7" ht="18">
      <c r="A127" s="85" t="s">
        <v>76</v>
      </c>
      <c r="B127" s="85"/>
      <c r="C127" s="85"/>
      <c r="D127" s="40">
        <f>IF(Sheet1!B7="","",Sheet1!B7)</f>
      </c>
      <c r="E127" s="11"/>
      <c r="G127" s="6" t="e">
        <f>D127*D128*8.34</f>
        <v>#VALUE!</v>
      </c>
    </row>
    <row r="128" spans="1:7" ht="18">
      <c r="A128" s="85" t="s">
        <v>74</v>
      </c>
      <c r="B128" s="85"/>
      <c r="C128" s="85"/>
      <c r="D128" s="30"/>
      <c r="E128" s="11"/>
      <c r="G128" s="6">
        <f>D129*D130*8.34</f>
        <v>0</v>
      </c>
    </row>
    <row r="129" spans="1:7" ht="18">
      <c r="A129" s="85" t="s">
        <v>75</v>
      </c>
      <c r="B129" s="85"/>
      <c r="C129" s="85"/>
      <c r="D129" s="30"/>
      <c r="E129" s="11"/>
      <c r="G129" s="6" t="e">
        <f>G127+G128</f>
        <v>#VALUE!</v>
      </c>
    </row>
    <row r="130" spans="1:5" ht="18">
      <c r="A130" s="85" t="s">
        <v>48</v>
      </c>
      <c r="B130" s="85"/>
      <c r="C130" s="85"/>
      <c r="D130" s="30"/>
      <c r="E130" s="11"/>
    </row>
    <row r="131" spans="2:5" ht="18">
      <c r="B131" s="29"/>
      <c r="C131" s="29"/>
      <c r="D131" s="62"/>
      <c r="E131" s="11"/>
    </row>
    <row r="132" spans="2:5" ht="18">
      <c r="B132" s="29"/>
      <c r="C132" s="29"/>
      <c r="D132" s="27"/>
      <c r="E132" s="11"/>
    </row>
    <row r="133" spans="2:5" ht="18">
      <c r="B133" s="36" t="s">
        <v>49</v>
      </c>
      <c r="C133" s="36"/>
      <c r="D133" s="35">
        <f>IF(ISERROR(G125/G129),"",G125/G129)</f>
      </c>
      <c r="E133" s="33"/>
    </row>
    <row r="155" ht="12.75"/>
    <row r="156" ht="12.75"/>
    <row r="157" ht="12.75"/>
    <row r="158" ht="12.75"/>
    <row r="159" spans="1:5" ht="20.25">
      <c r="A159" s="8"/>
      <c r="B159" s="13" t="s">
        <v>80</v>
      </c>
      <c r="C159" s="8"/>
      <c r="D159" s="8"/>
      <c r="E159" s="8"/>
    </row>
    <row r="160" spans="1:5" ht="12.75">
      <c r="A160" s="8"/>
      <c r="B160" s="8"/>
      <c r="C160" s="8"/>
      <c r="D160" s="8"/>
      <c r="E160" s="8"/>
    </row>
    <row r="161" spans="1:5" ht="12.75">
      <c r="A161" s="8"/>
      <c r="B161" s="87" t="s">
        <v>77</v>
      </c>
      <c r="C161" s="87"/>
      <c r="D161" s="4"/>
      <c r="E161" s="8"/>
    </row>
    <row r="162" spans="1:5" ht="12.75">
      <c r="A162" s="8"/>
      <c r="B162" s="8"/>
      <c r="C162" s="8"/>
      <c r="D162" s="8"/>
      <c r="E162" s="8"/>
    </row>
    <row r="163" spans="1:5" ht="12.75">
      <c r="A163" s="8"/>
      <c r="B163" s="87" t="s">
        <v>78</v>
      </c>
      <c r="C163" s="87"/>
      <c r="D163" s="5">
        <f>IF(D161="","",D161*1.8+32)</f>
      </c>
      <c r="E163" s="8"/>
    </row>
    <row r="164" spans="1:5" ht="12.75">
      <c r="A164" s="8"/>
      <c r="B164" s="8"/>
      <c r="C164" s="8"/>
      <c r="D164" s="8"/>
      <c r="E164" s="8"/>
    </row>
    <row r="165" spans="1:5" ht="12.75">
      <c r="A165" s="8"/>
      <c r="B165" s="8"/>
      <c r="C165" s="8"/>
      <c r="D165" s="8"/>
      <c r="E165" s="8"/>
    </row>
    <row r="166" spans="1:5" ht="20.25">
      <c r="A166" s="8"/>
      <c r="B166" s="13" t="s">
        <v>79</v>
      </c>
      <c r="C166" s="8"/>
      <c r="D166" s="8"/>
      <c r="E166" s="8"/>
    </row>
    <row r="167" spans="1:15" ht="12.75">
      <c r="A167" s="8"/>
      <c r="B167" s="8"/>
      <c r="C167" s="8"/>
      <c r="D167" s="8"/>
      <c r="E167" s="8"/>
      <c r="O167" s="58">
        <f>D168-32</f>
        <v>-32</v>
      </c>
    </row>
    <row r="168" spans="1:5" ht="12.75">
      <c r="A168" s="8"/>
      <c r="B168" s="87" t="s">
        <v>78</v>
      </c>
      <c r="C168" s="87"/>
      <c r="D168" s="60"/>
      <c r="E168" s="8"/>
    </row>
    <row r="169" spans="1:5" ht="12.75">
      <c r="A169" s="8"/>
      <c r="B169" s="8"/>
      <c r="C169" s="8"/>
      <c r="D169" s="8"/>
      <c r="E169" s="8"/>
    </row>
    <row r="170" spans="1:5" ht="12.75">
      <c r="A170" s="8"/>
      <c r="B170" s="87" t="s">
        <v>77</v>
      </c>
      <c r="C170" s="87"/>
      <c r="D170" s="59">
        <f>IF(D168="","",(O167*5/9))</f>
      </c>
      <c r="E170" s="8"/>
    </row>
    <row r="171" ht="12.75">
      <c r="D171" s="61"/>
    </row>
    <row r="172" ht="12.75"/>
    <row r="173" ht="12.75"/>
    <row r="174" ht="12.75"/>
    <row r="210" ht="12.75"/>
    <row r="211" ht="12.75"/>
    <row r="212" ht="12.75"/>
    <row r="214" ht="12.75"/>
    <row r="215" spans="2:6" ht="18">
      <c r="B215" s="85" t="s">
        <v>52</v>
      </c>
      <c r="C215" s="85"/>
      <c r="D215" s="56">
        <f>Sheet1!B7</f>
        <v>0</v>
      </c>
      <c r="F215" s="6">
        <f>D215*D216*8.34</f>
        <v>0</v>
      </c>
    </row>
    <row r="216" spans="2:6" ht="18">
      <c r="B216" s="85" t="s">
        <v>19</v>
      </c>
      <c r="C216" s="85"/>
      <c r="D216" s="37"/>
      <c r="F216" s="6">
        <f>D217*D218*8.34</f>
        <v>0</v>
      </c>
    </row>
    <row r="217" spans="2:4" ht="18">
      <c r="B217" s="85" t="s">
        <v>1</v>
      </c>
      <c r="C217" s="85"/>
      <c r="D217" s="37"/>
    </row>
    <row r="218" spans="2:4" ht="18">
      <c r="B218" s="85" t="s">
        <v>53</v>
      </c>
      <c r="C218" s="85"/>
      <c r="D218" s="55">
        <f>Sheet1!B3</f>
        <v>0</v>
      </c>
    </row>
    <row r="219" spans="2:4" ht="18">
      <c r="B219" s="29"/>
      <c r="C219" s="29"/>
      <c r="D219" s="29"/>
    </row>
    <row r="220" spans="2:4" ht="18">
      <c r="B220" s="85" t="s">
        <v>54</v>
      </c>
      <c r="C220" s="85"/>
      <c r="D220" s="38">
        <f>IF(ISERROR(F215/F216),"",F215/F216)</f>
      </c>
    </row>
    <row r="221" ht="12.75"/>
    <row r="222" ht="12.75">
      <c r="D222" s="61"/>
    </row>
    <row r="223" ht="12.75"/>
    <row r="224" ht="12.75"/>
    <row r="225" ht="12.75"/>
    <row r="226" ht="12.75"/>
    <row r="227" ht="12.75"/>
    <row r="228" ht="12.75"/>
    <row r="229" ht="12.75"/>
    <row r="230" ht="12.75"/>
    <row r="268" ht="12.75"/>
    <row r="269" ht="12.75"/>
    <row r="270" ht="12.75"/>
    <row r="271" ht="12.75"/>
    <row r="272" spans="3:14" ht="21" thickBot="1">
      <c r="C272" s="89" t="s">
        <v>81</v>
      </c>
      <c r="D272" s="89"/>
      <c r="M272" s="57"/>
      <c r="N272" s="57" t="s">
        <v>82</v>
      </c>
    </row>
    <row r="273" ht="13.5" thickTop="1"/>
    <row r="274" spans="2:14" ht="18">
      <c r="B274" s="85" t="s">
        <v>55</v>
      </c>
      <c r="C274" s="85"/>
      <c r="D274" s="28"/>
      <c r="L274" s="85" t="s">
        <v>61</v>
      </c>
      <c r="M274" s="85"/>
      <c r="N274" s="28"/>
    </row>
    <row r="275" spans="2:14" ht="18">
      <c r="B275" s="85" t="s">
        <v>56</v>
      </c>
      <c r="C275" s="85"/>
      <c r="D275" s="30"/>
      <c r="L275" s="85" t="s">
        <v>57</v>
      </c>
      <c r="M275" s="85"/>
      <c r="N275" s="30"/>
    </row>
    <row r="276" spans="2:14" ht="18">
      <c r="B276" s="85" t="s">
        <v>57</v>
      </c>
      <c r="C276" s="85"/>
      <c r="D276" s="30"/>
      <c r="L276" s="29"/>
      <c r="M276" s="29"/>
      <c r="N276" s="29"/>
    </row>
    <row r="277" spans="2:14" ht="18">
      <c r="B277" s="29"/>
      <c r="C277" s="29"/>
      <c r="D277" s="29"/>
      <c r="L277" s="85" t="s">
        <v>62</v>
      </c>
      <c r="M277" s="85"/>
      <c r="N277" s="39">
        <f>IF(N274="","",(3.14*N274*N274))</f>
      </c>
    </row>
    <row r="278" spans="2:14" ht="18">
      <c r="B278" s="29"/>
      <c r="C278" s="29"/>
      <c r="D278" s="29"/>
      <c r="L278" s="85" t="s">
        <v>59</v>
      </c>
      <c r="M278" s="85"/>
      <c r="N278" s="40">
        <f>IF(N274="","",(3.14*N274*N274*N275))</f>
      </c>
    </row>
    <row r="279" spans="2:14" ht="18">
      <c r="B279" s="85" t="s">
        <v>58</v>
      </c>
      <c r="C279" s="85"/>
      <c r="D279" s="39">
        <f>IF(D274="","",(D274*D275))</f>
      </c>
      <c r="L279" s="85" t="s">
        <v>60</v>
      </c>
      <c r="M279" s="85"/>
      <c r="N279" s="41">
        <f>IF(N274="","",(N278*7.5))</f>
      </c>
    </row>
    <row r="280" spans="2:14" ht="18">
      <c r="B280" s="85" t="s">
        <v>59</v>
      </c>
      <c r="C280" s="85"/>
      <c r="D280" s="40">
        <f>IF(D274="","",(D274*D275*D276))</f>
      </c>
      <c r="N280" s="61"/>
    </row>
    <row r="281" spans="2:5" ht="18">
      <c r="B281" s="85" t="s">
        <v>60</v>
      </c>
      <c r="C281" s="85"/>
      <c r="D281" s="90">
        <f>IF(D274="","",(D274*D275*D276*7.5))</f>
      </c>
      <c r="E281" s="90"/>
    </row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</sheetData>
  <sheetProtection sheet="1" objects="1" scenarios="1" selectLockedCells="1"/>
  <mergeCells count="44">
    <mergeCell ref="D281:E281"/>
    <mergeCell ref="B279:C279"/>
    <mergeCell ref="B280:C280"/>
    <mergeCell ref="B276:C276"/>
    <mergeCell ref="B281:C281"/>
    <mergeCell ref="L279:M279"/>
    <mergeCell ref="L274:M274"/>
    <mergeCell ref="L275:M275"/>
    <mergeCell ref="L277:M277"/>
    <mergeCell ref="L278:M278"/>
    <mergeCell ref="C272:D272"/>
    <mergeCell ref="B220:C220"/>
    <mergeCell ref="B274:C274"/>
    <mergeCell ref="B275:C275"/>
    <mergeCell ref="B215:C215"/>
    <mergeCell ref="B216:C216"/>
    <mergeCell ref="B217:C217"/>
    <mergeCell ref="B218:C218"/>
    <mergeCell ref="B63:C63"/>
    <mergeCell ref="B64:C64"/>
    <mergeCell ref="B65:C65"/>
    <mergeCell ref="B66:C66"/>
    <mergeCell ref="B6:C6"/>
    <mergeCell ref="B7:C7"/>
    <mergeCell ref="B9:C9"/>
    <mergeCell ref="B12:C12"/>
    <mergeCell ref="B124:C124"/>
    <mergeCell ref="A125:C125"/>
    <mergeCell ref="A126:C126"/>
    <mergeCell ref="B13:C13"/>
    <mergeCell ref="B15:C15"/>
    <mergeCell ref="B54:C54"/>
    <mergeCell ref="B55:C55"/>
    <mergeCell ref="B56:C56"/>
    <mergeCell ref="B57:C57"/>
    <mergeCell ref="A68:C68"/>
    <mergeCell ref="B161:C161"/>
    <mergeCell ref="B163:C163"/>
    <mergeCell ref="B168:C168"/>
    <mergeCell ref="B170:C170"/>
    <mergeCell ref="A127:C127"/>
    <mergeCell ref="A129:C129"/>
    <mergeCell ref="A130:C130"/>
    <mergeCell ref="A128:C128"/>
  </mergeCells>
  <dataValidations count="5">
    <dataValidation type="decimal" allowBlank="1" showInputMessage="1" showErrorMessage="1" error="Value must be entered in MG. Example 60,000 is .060" sqref="E125">
      <formula1>0.001</formula1>
      <formula2>2</formula2>
    </dataValidation>
    <dataValidation type="decimal" allowBlank="1" showInputMessage="1" showErrorMessage="1" error="Value must be entered in MG" sqref="E126">
      <formula1>0.001</formula1>
      <formula2>2</formula2>
    </dataValidation>
    <dataValidation type="decimal" allowBlank="1" showInputMessage="1" showErrorMessage="1" error="Value must be entered in MG" sqref="E127">
      <formula1>0.001</formula1>
      <formula2>3</formula2>
    </dataValidation>
    <dataValidation type="decimal" allowBlank="1" showInputMessage="1" showErrorMessage="1" error="Value must be entered in MG" sqref="D130:E130">
      <formula1>0.001</formula1>
      <formula2>1</formula2>
    </dataValidation>
    <dataValidation type="decimal" allowBlank="1" showInputMessage="1" showErrorMessage="1" error="Inf Flow must be in MG Example 200,000 gals is .200" sqref="D215">
      <formula1>0.001</formula1>
      <formula2>3</formula2>
    </dataValidation>
  </dataValidations>
  <printOptions/>
  <pageMargins left="0.75" right="0.75" top="1" bottom="1" header="0.5" footer="0.5"/>
  <pageSetup horizontalDpi="360" verticalDpi="36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5:Q43"/>
  <sheetViews>
    <sheetView showRowColHeaders="0" workbookViewId="0" topLeftCell="A1">
      <selection activeCell="D11" sqref="D11"/>
    </sheetView>
  </sheetViews>
  <sheetFormatPr defaultColWidth="9.140625" defaultRowHeight="12.75"/>
  <cols>
    <col min="1" max="3" width="9.140625" style="7" customWidth="1"/>
    <col min="4" max="4" width="11.421875" style="7" bestFit="1" customWidth="1"/>
    <col min="5" max="16384" width="9.140625" style="7" customWidth="1"/>
  </cols>
  <sheetData>
    <row r="1" s="6" customFormat="1" ht="12.75"/>
    <row r="2" s="6" customFormat="1" ht="12.75"/>
    <row r="3" s="6" customFormat="1" ht="12.75"/>
    <row r="4" s="6" customFormat="1" ht="12.75"/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0.25">
      <c r="A6" s="6"/>
      <c r="B6" s="67"/>
      <c r="C6" s="9"/>
      <c r="D6" s="9"/>
      <c r="E6" s="9"/>
      <c r="F6" s="65"/>
      <c r="G6" s="65"/>
      <c r="H6" s="78"/>
      <c r="I6" s="78"/>
      <c r="J6" s="78"/>
      <c r="K6" s="78"/>
      <c r="L6" s="6"/>
      <c r="M6" s="6"/>
      <c r="N6" s="6"/>
      <c r="O6" s="6"/>
      <c r="P6" s="6"/>
      <c r="Q6" s="6"/>
    </row>
    <row r="7" spans="1:17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8">
      <c r="A11" s="66"/>
      <c r="B11" s="44" t="s">
        <v>69</v>
      </c>
      <c r="C11" s="44"/>
      <c r="D11" s="4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8">
      <c r="A12" s="6"/>
      <c r="B12" s="15"/>
      <c r="C12" s="15"/>
      <c r="D12" s="15"/>
      <c r="E12" s="79" t="s">
        <v>72</v>
      </c>
      <c r="F12" s="79"/>
      <c r="G12" s="79"/>
      <c r="H12" s="79"/>
      <c r="I12" s="6"/>
      <c r="J12" s="6"/>
      <c r="K12" s="6"/>
      <c r="L12" s="6"/>
      <c r="M12" s="6"/>
      <c r="N12" s="6"/>
      <c r="O12" s="6"/>
      <c r="P12" s="6"/>
      <c r="Q12" s="6"/>
    </row>
    <row r="13" spans="1:17" ht="18">
      <c r="A13" s="77" t="s">
        <v>70</v>
      </c>
      <c r="B13" s="77"/>
      <c r="C13" s="77"/>
      <c r="D13" s="1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8">
      <c r="A14" s="6"/>
      <c r="B14" s="15"/>
      <c r="C14" s="15"/>
      <c r="D14" s="1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8">
      <c r="A15" s="6"/>
      <c r="B15" s="15"/>
      <c r="C15" s="15"/>
      <c r="D15" s="1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8">
      <c r="A16" s="6"/>
      <c r="B16" s="15"/>
      <c r="C16" s="15"/>
      <c r="D16" s="1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8">
      <c r="A17" s="77" t="s">
        <v>71</v>
      </c>
      <c r="B17" s="77"/>
      <c r="C17" s="77"/>
      <c r="D17" s="22">
        <f>IF(ISERROR(D11/D13),"",D11/D13)</f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</sheetData>
  <sheetProtection sheet="1" objects="1" scenarios="1" selectLockedCells="1"/>
  <mergeCells count="4">
    <mergeCell ref="A17:C17"/>
    <mergeCell ref="A13:C13"/>
    <mergeCell ref="H6:K6"/>
    <mergeCell ref="E12:H12"/>
  </mergeCells>
  <printOptions/>
  <pageMargins left="0.75" right="0.75" top="1" bottom="1" header="0.5" footer="0.5"/>
  <pageSetup horizontalDpi="360" verticalDpi="36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5:CC45"/>
  <sheetViews>
    <sheetView showGridLines="0" showRowColHeaders="0" workbookViewId="0" topLeftCell="A1">
      <selection activeCell="D11" sqref="D11"/>
    </sheetView>
  </sheetViews>
  <sheetFormatPr defaultColWidth="9.140625" defaultRowHeight="12.75"/>
  <cols>
    <col min="1" max="2" width="9.140625" style="7" customWidth="1"/>
    <col min="3" max="3" width="9.00390625" style="7" customWidth="1"/>
    <col min="4" max="4" width="14.7109375" style="7" customWidth="1"/>
    <col min="5" max="16384" width="9.140625" style="7" customWidth="1"/>
  </cols>
  <sheetData>
    <row r="1" s="6" customFormat="1" ht="12.75"/>
    <row r="2" s="6" customFormat="1" ht="12.75"/>
    <row r="3" s="6" customFormat="1" ht="12.75"/>
    <row r="4" s="6" customFormat="1" ht="12.75"/>
    <row r="5" spans="1:8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</row>
    <row r="6" spans="1:81" ht="20.25">
      <c r="A6" s="6"/>
      <c r="B6" s="6"/>
      <c r="C6" s="82"/>
      <c r="D6" s="82"/>
      <c r="E6" s="82"/>
      <c r="F6" s="80"/>
      <c r="G6" s="80"/>
      <c r="H6" s="80"/>
      <c r="I6" s="8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</row>
    <row r="8" spans="1:8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8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</row>
    <row r="10" spans="1:8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1" ht="18">
      <c r="A11" s="77" t="s">
        <v>66</v>
      </c>
      <c r="B11" s="77"/>
      <c r="C11" s="77"/>
      <c r="D11" s="42"/>
      <c r="E11" s="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</row>
    <row r="12" spans="1:81" ht="18">
      <c r="A12" s="6"/>
      <c r="B12" s="15"/>
      <c r="C12" s="15"/>
      <c r="D12" s="15"/>
      <c r="E12" s="81" t="s">
        <v>7</v>
      </c>
      <c r="F12" s="81"/>
      <c r="G12" s="8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</row>
    <row r="13" spans="1:81" ht="18">
      <c r="A13" s="77" t="s">
        <v>67</v>
      </c>
      <c r="B13" s="77"/>
      <c r="C13" s="77"/>
      <c r="D13" s="42"/>
      <c r="E13" s="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</row>
    <row r="14" spans="1:81" ht="18">
      <c r="A14" s="6"/>
      <c r="B14" s="15"/>
      <c r="C14" s="15"/>
      <c r="D14" s="1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1" ht="18">
      <c r="A15" s="6"/>
      <c r="B15" s="15"/>
      <c r="C15" s="15"/>
      <c r="D15" s="1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</row>
    <row r="16" spans="1:81" ht="18">
      <c r="A16" s="6"/>
      <c r="B16" s="15"/>
      <c r="C16" s="15"/>
      <c r="D16" s="1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ht="18">
      <c r="A17" s="6"/>
      <c r="B17" s="15"/>
      <c r="C17" s="15"/>
      <c r="D17" s="1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</row>
    <row r="18" spans="1:81" ht="18">
      <c r="A18" s="6"/>
      <c r="B18" s="77" t="s">
        <v>68</v>
      </c>
      <c r="C18" s="77"/>
      <c r="D18" s="77"/>
      <c r="E18" s="43">
        <f>IF(ISERROR(D11/D13*24),"",D11/D13*24)</f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</row>
    <row r="19" spans="1:8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</row>
    <row r="21" spans="1:8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</row>
    <row r="22" spans="1:8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</row>
    <row r="24" spans="1:8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</row>
    <row r="25" spans="1:8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</row>
    <row r="26" spans="1:8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</row>
    <row r="28" spans="1:8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</row>
    <row r="29" spans="1:8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</row>
    <row r="30" spans="1:8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</row>
    <row r="31" spans="1:8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</row>
    <row r="32" spans="1:8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</row>
    <row r="33" spans="1:8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</row>
    <row r="34" spans="1:8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</row>
    <row r="35" spans="1:8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</row>
    <row r="36" spans="1:8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</row>
    <row r="37" spans="1:8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</row>
    <row r="38" spans="1:8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</row>
    <row r="39" spans="1:8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</row>
    <row r="40" spans="1:8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</row>
    <row r="41" spans="1:8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</row>
    <row r="42" spans="1:8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</row>
    <row r="43" spans="1:8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</row>
    <row r="44" spans="1:8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</row>
    <row r="45" spans="1:8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</row>
  </sheetData>
  <sheetProtection sheet="1" objects="1" scenarios="1" selectLockedCells="1"/>
  <mergeCells count="6">
    <mergeCell ref="B18:D18"/>
    <mergeCell ref="F6:I6"/>
    <mergeCell ref="E12:G12"/>
    <mergeCell ref="C6:E6"/>
    <mergeCell ref="A11:C11"/>
    <mergeCell ref="A13:C13"/>
  </mergeCells>
  <printOptions/>
  <pageMargins left="0.75" right="0.75" top="1" bottom="1" header="0.5" footer="0.5"/>
  <pageSetup horizontalDpi="360" verticalDpi="36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3:L16"/>
  <sheetViews>
    <sheetView showGridLines="0" showRowColHeaders="0" workbookViewId="0" topLeftCell="A1">
      <selection activeCell="C6" sqref="C6"/>
    </sheetView>
  </sheetViews>
  <sheetFormatPr defaultColWidth="9.140625" defaultRowHeight="12.75"/>
  <cols>
    <col min="1" max="3" width="9.140625" style="1" customWidth="1"/>
    <col min="4" max="4" width="11.421875" style="1" bestFit="1" customWidth="1"/>
    <col min="5" max="5" width="12.00390625" style="1" hidden="1" customWidth="1"/>
    <col min="6" max="16384" width="9.140625" style="1" customWidth="1"/>
  </cols>
  <sheetData>
    <row r="3" spans="3:12" ht="20.25">
      <c r="C3" s="2"/>
      <c r="I3" s="80"/>
      <c r="J3" s="80"/>
      <c r="K3" s="80"/>
      <c r="L3" s="80"/>
    </row>
    <row r="5" ht="12.75">
      <c r="H5" s="3"/>
    </row>
    <row r="6" spans="1:5" ht="18">
      <c r="A6" s="83" t="s">
        <v>0</v>
      </c>
      <c r="B6" s="83"/>
      <c r="C6" s="19"/>
      <c r="E6" s="1" t="e">
        <f>C8*C7</f>
        <v>#VALUE!</v>
      </c>
    </row>
    <row r="7" spans="1:6" ht="18">
      <c r="A7" s="83" t="s">
        <v>1</v>
      </c>
      <c r="B7" s="83"/>
      <c r="C7" s="19"/>
      <c r="E7" s="1" t="e">
        <f>D10-C7</f>
        <v>#VALUE!</v>
      </c>
      <c r="F7" s="24" t="s">
        <v>7</v>
      </c>
    </row>
    <row r="8" spans="1:3" ht="18">
      <c r="A8" s="83" t="s">
        <v>2</v>
      </c>
      <c r="B8" s="83"/>
      <c r="C8" s="20">
        <f>IF(Sheet1!B7="","",Sheet1!B7)</f>
      </c>
    </row>
    <row r="9" ht="18">
      <c r="B9" s="17"/>
    </row>
    <row r="10" spans="1:4" ht="18">
      <c r="A10" s="83" t="s">
        <v>3</v>
      </c>
      <c r="B10" s="83"/>
      <c r="C10" s="83"/>
      <c r="D10" s="23">
        <f>IF(ISERROR(1000000/C6),"",1000000/C6)</f>
      </c>
    </row>
    <row r="11" spans="1:7" ht="18">
      <c r="A11" s="14"/>
      <c r="B11" s="18"/>
      <c r="C11" s="14"/>
      <c r="D11" s="15"/>
      <c r="G11" s="6"/>
    </row>
    <row r="12" spans="1:7" ht="18">
      <c r="A12" s="83" t="s">
        <v>4</v>
      </c>
      <c r="B12" s="83"/>
      <c r="C12" s="83"/>
      <c r="D12" s="21">
        <f>IF(ISERROR(E6/E7),"",E6/E7)</f>
      </c>
      <c r="G12" s="3"/>
    </row>
    <row r="13" spans="1:4" ht="18">
      <c r="A13" s="14"/>
      <c r="B13" s="18"/>
      <c r="C13" s="14"/>
      <c r="D13" s="15"/>
    </row>
    <row r="14" spans="1:6" ht="18">
      <c r="A14" s="83" t="s">
        <v>5</v>
      </c>
      <c r="B14" s="83"/>
      <c r="C14" s="83"/>
      <c r="D14" s="84">
        <f>IF(ISERROR(1000000*D12),"",1000000*D12)</f>
      </c>
      <c r="E14" s="84"/>
      <c r="F14" s="84"/>
    </row>
    <row r="15" spans="1:4" ht="18">
      <c r="A15" s="14"/>
      <c r="B15" s="18"/>
      <c r="C15" s="14"/>
      <c r="D15" s="15"/>
    </row>
    <row r="16" spans="1:4" ht="18">
      <c r="A16" s="83" t="s">
        <v>6</v>
      </c>
      <c r="B16" s="83"/>
      <c r="C16" s="83"/>
      <c r="D16" s="20">
        <f>IF(ISERROR(D14/1440),"",D14/1440)</f>
      </c>
    </row>
    <row r="17" ht="12.75"/>
  </sheetData>
  <sheetProtection sheet="1" objects="1" scenarios="1" selectLockedCells="1"/>
  <mergeCells count="9">
    <mergeCell ref="A16:C16"/>
    <mergeCell ref="I3:L3"/>
    <mergeCell ref="A6:B6"/>
    <mergeCell ref="A7:B7"/>
    <mergeCell ref="A8:B8"/>
    <mergeCell ref="D14:F14"/>
    <mergeCell ref="A10:C10"/>
    <mergeCell ref="A12:C12"/>
    <mergeCell ref="A14:C14"/>
  </mergeCells>
  <dataValidations count="1">
    <dataValidation allowBlank="1" showInputMessage="1" showErrorMessage="1" promptTitle="Warning!!!!!" prompt="Do not Enter data or Delete cell. Doing so will delete the formula." sqref="D10 D12 D14 D16"/>
  </dataValidations>
  <printOptions/>
  <pageMargins left="0.75" right="0.75" top="1" bottom="1" header="0.5" footer="0.5"/>
  <pageSetup horizontalDpi="360" verticalDpi="360" orientation="portrait" r:id="rId4"/>
  <drawing r:id="rId3"/>
  <legacyDrawing r:id="rId2"/>
  <oleObjects>
    <oleObject progId="MS_ClipArt_Gallery" shapeId="24026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14"/>
  <sheetViews>
    <sheetView showGridLines="0" showRowColHeaders="0" workbookViewId="0" topLeftCell="A1">
      <selection activeCell="C4" sqref="C4"/>
    </sheetView>
  </sheetViews>
  <sheetFormatPr defaultColWidth="9.140625" defaultRowHeight="12.75"/>
  <cols>
    <col min="1" max="2" width="9.140625" style="1" customWidth="1"/>
    <col min="3" max="3" width="11.421875" style="1" bestFit="1" customWidth="1"/>
    <col min="4" max="5" width="9.140625" style="1" customWidth="1"/>
    <col min="6" max="6" width="0" style="1" hidden="1" customWidth="1"/>
    <col min="7" max="16384" width="9.140625" style="1" customWidth="1"/>
  </cols>
  <sheetData>
    <row r="1" spans="3:12" ht="87.75" customHeight="1">
      <c r="C1" s="2"/>
      <c r="D1" s="2"/>
      <c r="E1" s="2"/>
      <c r="F1" s="2"/>
      <c r="G1" s="2"/>
      <c r="I1" s="80"/>
      <c r="J1" s="80"/>
      <c r="K1" s="80"/>
      <c r="L1" s="80"/>
    </row>
    <row r="3" ht="12.75">
      <c r="F3" s="1" t="s">
        <v>11</v>
      </c>
    </row>
    <row r="4" spans="1:6" ht="18">
      <c r="A4" s="17" t="s">
        <v>83</v>
      </c>
      <c r="B4" s="17" t="s">
        <v>8</v>
      </c>
      <c r="C4" s="19"/>
      <c r="E4" s="24" t="s">
        <v>7</v>
      </c>
      <c r="F4" s="1">
        <f>1000-C4</f>
        <v>1000</v>
      </c>
    </row>
    <row r="5" spans="1:7" ht="18">
      <c r="A5" s="83" t="s">
        <v>9</v>
      </c>
      <c r="B5" s="83"/>
      <c r="C5" s="20">
        <f>IF(Sheet1!B7="","",Sheet1!B7)</f>
      </c>
      <c r="F5" s="24"/>
      <c r="G5" s="24"/>
    </row>
    <row r="6" ht="18">
      <c r="C6" s="17"/>
    </row>
    <row r="7" ht="18">
      <c r="C7" s="17"/>
    </row>
    <row r="8" spans="1:3" ht="18">
      <c r="A8" s="83" t="s">
        <v>10</v>
      </c>
      <c r="B8" s="83"/>
      <c r="C8" s="25">
        <f>IF(C4="","",(C4/F4))</f>
      </c>
    </row>
    <row r="9" ht="18">
      <c r="C9" s="15"/>
    </row>
    <row r="10" spans="1:3" ht="18">
      <c r="A10" s="83" t="s">
        <v>4</v>
      </c>
      <c r="B10" s="83"/>
      <c r="C10" s="26">
        <f>IF(C4="","",(C8*C5))</f>
      </c>
    </row>
    <row r="11" ht="18">
      <c r="C11" s="15"/>
    </row>
    <row r="12" spans="1:4" ht="18">
      <c r="A12" s="83" t="s">
        <v>5</v>
      </c>
      <c r="B12" s="83"/>
      <c r="C12" s="84">
        <f>IF(C4="","",(C10*1000000))</f>
      </c>
      <c r="D12" s="84"/>
    </row>
    <row r="13" ht="18">
      <c r="C13" s="15"/>
    </row>
    <row r="14" spans="1:3" ht="18">
      <c r="A14" s="83" t="s">
        <v>6</v>
      </c>
      <c r="B14" s="83"/>
      <c r="C14" s="23">
        <f>IF(C4="","",(C12/1440))</f>
      </c>
    </row>
    <row r="15" ht="12.75"/>
    <row r="16" ht="12.75"/>
    <row r="17" ht="12.75"/>
    <row r="18" ht="12.75"/>
    <row r="19" ht="12.75"/>
  </sheetData>
  <sheetProtection sheet="1" objects="1" scenarios="1" selectLockedCells="1"/>
  <mergeCells count="7">
    <mergeCell ref="I1:L1"/>
    <mergeCell ref="A14:B14"/>
    <mergeCell ref="A5:B5"/>
    <mergeCell ref="A8:B8"/>
    <mergeCell ref="A10:B10"/>
    <mergeCell ref="A12:B12"/>
    <mergeCell ref="C12:D12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3:Z71"/>
  <sheetViews>
    <sheetView showGridLines="0" showRowColHeaders="0" workbookViewId="0" topLeftCell="A1">
      <selection activeCell="D6" sqref="D6"/>
    </sheetView>
  </sheetViews>
  <sheetFormatPr defaultColWidth="9.140625" defaultRowHeight="12.75"/>
  <cols>
    <col min="1" max="3" width="9.140625" style="7" customWidth="1"/>
    <col min="4" max="4" width="9.8515625" style="7" bestFit="1" customWidth="1"/>
    <col min="5" max="5" width="9.140625" style="7" customWidth="1"/>
    <col min="6" max="6" width="0" style="7" hidden="1" customWidth="1"/>
    <col min="7" max="7" width="10.57421875" style="7" customWidth="1"/>
    <col min="8" max="16384" width="9.140625" style="7" customWidth="1"/>
  </cols>
  <sheetData>
    <row r="1" s="6" customFormat="1" ht="12.75"/>
    <row r="2" s="6" customFormat="1" ht="67.5" customHeight="1"/>
    <row r="3" spans="1:26" ht="22.5" customHeight="1">
      <c r="A3" s="6"/>
      <c r="B3" s="6"/>
      <c r="C3" s="9"/>
      <c r="D3" s="9"/>
      <c r="E3" s="9"/>
      <c r="F3" s="9"/>
      <c r="G3" s="80"/>
      <c r="H3" s="80"/>
      <c r="I3" s="80"/>
      <c r="J3" s="8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>
      <c r="A5" s="6"/>
      <c r="B5" s="6"/>
      <c r="C5" s="6"/>
      <c r="D5" s="6"/>
      <c r="E5" s="6"/>
      <c r="F5" s="6">
        <f>D7-D6</f>
        <v>0</v>
      </c>
      <c r="G5" s="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>
      <c r="A6" s="6"/>
      <c r="B6" s="15" t="s">
        <v>12</v>
      </c>
      <c r="C6" s="6"/>
      <c r="D6" s="19"/>
      <c r="E6" s="6"/>
      <c r="F6" s="6">
        <f>F5*D8*8.34</f>
        <v>0</v>
      </c>
      <c r="G6" s="6"/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8">
      <c r="A7" s="6"/>
      <c r="B7" s="16" t="s">
        <v>13</v>
      </c>
      <c r="C7" s="6"/>
      <c r="D7" s="19"/>
      <c r="E7" s="6"/>
      <c r="F7" s="6">
        <f>D9*8.34</f>
        <v>0</v>
      </c>
      <c r="G7" s="6"/>
      <c r="H7" s="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">
      <c r="A8" s="6"/>
      <c r="B8" s="15" t="s">
        <v>14</v>
      </c>
      <c r="C8" s="6"/>
      <c r="D8" s="63">
        <f>Sheet1!B3</f>
        <v>0</v>
      </c>
      <c r="E8" s="10"/>
      <c r="F8" s="6"/>
      <c r="G8" s="15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">
      <c r="A9" s="6"/>
      <c r="B9" s="77" t="s">
        <v>15</v>
      </c>
      <c r="C9" s="77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8">
      <c r="A12" s="6"/>
      <c r="B12" s="15" t="s">
        <v>16</v>
      </c>
      <c r="C12" s="6"/>
      <c r="D12" s="26">
        <f>IF(ISERROR(F6/F7),"",F6/F7)</f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">
      <c r="A13" s="6"/>
      <c r="B13" s="6"/>
      <c r="C13" s="6"/>
      <c r="D13" s="1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">
      <c r="A14" s="6"/>
      <c r="B14" s="15" t="s">
        <v>17</v>
      </c>
      <c r="C14" s="6"/>
      <c r="D14" s="22">
        <f>IF(ISERROR(D12*1000000),"",D12*1000000)</f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">
      <c r="A15" s="6"/>
      <c r="B15" s="6"/>
      <c r="C15" s="6"/>
      <c r="D15" s="1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">
      <c r="A16" s="6"/>
      <c r="B16" s="15" t="s">
        <v>18</v>
      </c>
      <c r="C16" s="6"/>
      <c r="D16" s="23">
        <f>IF(ISERROR(D14/1440),"",D14/1440)</f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7:26" ht="12.75"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7:26" ht="12.75"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7:26" ht="12.75"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7:26" ht="12.75"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7:26" ht="12.75"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7:26" ht="12.75"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7:26" ht="12.75"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7:26" ht="12.75"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7:26" ht="12.75"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7:26" ht="12.75"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7:26" ht="12.75"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7:26" ht="12.75"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7:26" ht="12.75"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7:26" ht="12.75"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7:26" ht="12.75"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7:26" ht="12.75"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7:26" ht="12.75"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7:26" ht="12.75"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7:26" ht="12.75"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7:26" ht="12.75"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7:26" ht="12.75"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7:26" ht="12.75"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7:26" ht="12.75"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7:26" ht="12.75"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7:26" ht="12.75"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7:26" ht="12.75"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7:26" ht="12.75"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7:26" ht="12.75"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7:26" ht="12.75"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7:26" ht="12.75"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7:26" ht="12.75"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7:26" ht="12.75">
      <c r="Q71" s="6"/>
      <c r="R71" s="6"/>
      <c r="S71" s="6"/>
      <c r="T71" s="6"/>
      <c r="U71" s="6"/>
      <c r="V71" s="6"/>
      <c r="W71" s="6"/>
      <c r="X71" s="6"/>
      <c r="Y71" s="6"/>
      <c r="Z71" s="6"/>
    </row>
  </sheetData>
  <sheetProtection sheet="1" objects="1" scenarios="1" selectLockedCells="1"/>
  <mergeCells count="2">
    <mergeCell ref="G3:J3"/>
    <mergeCell ref="B9:C9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8:J24"/>
  <sheetViews>
    <sheetView showGridLines="0" showRowColHeaders="0" workbookViewId="0" topLeftCell="A1">
      <selection activeCell="D13" sqref="D13"/>
    </sheetView>
  </sheetViews>
  <sheetFormatPr defaultColWidth="9.140625" defaultRowHeight="12.75"/>
  <cols>
    <col min="1" max="5" width="9.140625" style="6" customWidth="1"/>
    <col min="6" max="6" width="0" style="6" hidden="1" customWidth="1"/>
    <col min="7" max="16384" width="9.140625" style="6" customWidth="1"/>
  </cols>
  <sheetData>
    <row r="7" ht="12.75"/>
    <row r="8" spans="3:10" ht="21.75" customHeight="1">
      <c r="C8" s="9"/>
      <c r="D8" s="9"/>
      <c r="E8" s="9"/>
      <c r="F8" s="9"/>
      <c r="G8" s="80"/>
      <c r="H8" s="80"/>
      <c r="I8" s="80"/>
      <c r="J8" s="80"/>
    </row>
    <row r="9" spans="1:4" ht="18">
      <c r="A9" s="77" t="s">
        <v>27</v>
      </c>
      <c r="B9" s="77"/>
      <c r="C9" s="85"/>
      <c r="D9" s="28"/>
    </row>
    <row r="10" spans="2:6" ht="18">
      <c r="B10" s="15" t="s">
        <v>1</v>
      </c>
      <c r="C10" s="15"/>
      <c r="D10" s="30"/>
      <c r="F10" s="6">
        <f>D11*D12*8.34</f>
        <v>0</v>
      </c>
    </row>
    <row r="11" spans="2:7" ht="18">
      <c r="B11" s="15" t="s">
        <v>19</v>
      </c>
      <c r="C11" s="15"/>
      <c r="D11" s="30"/>
      <c r="F11" s="6" t="e">
        <f>F10/D14</f>
        <v>#DIV/0!</v>
      </c>
      <c r="G11" s="15" t="s">
        <v>7</v>
      </c>
    </row>
    <row r="12" spans="2:6" ht="18">
      <c r="B12" s="15" t="s">
        <v>20</v>
      </c>
      <c r="C12" s="15"/>
      <c r="D12" s="40">
        <f>Sheet1!B7</f>
        <v>0</v>
      </c>
      <c r="E12" s="8"/>
      <c r="F12" s="6">
        <f>D10*D13*8.34</f>
        <v>0</v>
      </c>
    </row>
    <row r="13" spans="2:6" ht="18">
      <c r="B13" s="15" t="s">
        <v>22</v>
      </c>
      <c r="C13" s="15"/>
      <c r="D13" s="40">
        <f>Sheet1!B3</f>
        <v>0</v>
      </c>
      <c r="F13" s="6">
        <f>D9*8.34</f>
        <v>0</v>
      </c>
    </row>
    <row r="14" spans="2:4" ht="18">
      <c r="B14" s="15" t="s">
        <v>21</v>
      </c>
      <c r="C14" s="15"/>
      <c r="D14" s="30"/>
    </row>
    <row r="15" spans="2:4" ht="18">
      <c r="B15" s="15"/>
      <c r="C15" s="15"/>
      <c r="D15" s="15"/>
    </row>
    <row r="16" spans="2:4" ht="18">
      <c r="B16" s="15"/>
      <c r="C16" s="15"/>
      <c r="D16" s="15"/>
    </row>
    <row r="17" spans="2:4" ht="18">
      <c r="B17" s="15"/>
      <c r="C17" s="15"/>
      <c r="D17" s="15"/>
    </row>
    <row r="18" spans="2:5" ht="18">
      <c r="B18" s="15" t="s">
        <v>23</v>
      </c>
      <c r="C18" s="15"/>
      <c r="D18" s="84">
        <f>IF(ISERROR(F12-F11),"",F12-F11)</f>
      </c>
      <c r="E18" s="84"/>
    </row>
    <row r="19" spans="2:4" ht="18">
      <c r="B19" s="15"/>
      <c r="C19" s="15"/>
      <c r="D19" s="15"/>
    </row>
    <row r="20" spans="2:5" ht="18">
      <c r="B20" s="15" t="s">
        <v>24</v>
      </c>
      <c r="C20" s="15"/>
      <c r="D20" s="86">
        <f>IF(ISERROR(D18/F13),"",D18/F13)</f>
      </c>
      <c r="E20" s="86"/>
    </row>
    <row r="21" spans="2:4" ht="18">
      <c r="B21" s="15"/>
      <c r="C21" s="15"/>
      <c r="D21" s="15"/>
    </row>
    <row r="22" spans="2:5" ht="18">
      <c r="B22" s="15" t="s">
        <v>25</v>
      </c>
      <c r="C22" s="15"/>
      <c r="D22" s="84">
        <f>IF(ISERROR(D20*1000000),"",D20*1000000)</f>
      </c>
      <c r="E22" s="84"/>
    </row>
    <row r="23" spans="2:4" ht="18">
      <c r="B23" s="15"/>
      <c r="C23" s="15"/>
      <c r="D23" s="15"/>
    </row>
    <row r="24" spans="2:5" ht="18">
      <c r="B24" s="15" t="s">
        <v>26</v>
      </c>
      <c r="C24" s="15"/>
      <c r="D24" s="84">
        <f>IF(ISERROR(D22/1440),"",D22/1440)</f>
      </c>
      <c r="E24" s="84"/>
    </row>
  </sheetData>
  <sheetProtection sheet="1" objects="1" scenarios="1" selectLockedCells="1"/>
  <mergeCells count="6">
    <mergeCell ref="D24:E24"/>
    <mergeCell ref="A9:C9"/>
    <mergeCell ref="G8:J8"/>
    <mergeCell ref="D18:E18"/>
    <mergeCell ref="D22:E22"/>
    <mergeCell ref="D20:E20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8"/>
  <sheetViews>
    <sheetView workbookViewId="0" topLeftCell="A1">
      <selection activeCell="A9" sqref="A9"/>
    </sheetView>
  </sheetViews>
  <sheetFormatPr defaultColWidth="9.140625" defaultRowHeight="12.75"/>
  <sheetData>
    <row r="2" ht="12.75">
      <c r="A2" t="s">
        <v>88</v>
      </c>
    </row>
    <row r="4" ht="12.75">
      <c r="A4" t="s">
        <v>89</v>
      </c>
    </row>
    <row r="6" ht="12.75">
      <c r="A6" t="s">
        <v>90</v>
      </c>
    </row>
    <row r="8" ht="12.75">
      <c r="A8" t="s">
        <v>91</v>
      </c>
    </row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K19"/>
  <sheetViews>
    <sheetView showGridLines="0" showRowColHeaders="0" workbookViewId="0" topLeftCell="A1">
      <selection activeCell="D4" sqref="D4"/>
    </sheetView>
  </sheetViews>
  <sheetFormatPr defaultColWidth="9.140625" defaultRowHeight="12.75"/>
  <cols>
    <col min="1" max="2" width="9.140625" style="6" customWidth="1"/>
    <col min="3" max="3" width="11.00390625" style="6" customWidth="1"/>
    <col min="4" max="4" width="15.7109375" style="6" customWidth="1"/>
    <col min="5" max="6" width="9.140625" style="6" customWidth="1"/>
    <col min="7" max="7" width="10.8515625" style="6" hidden="1" customWidth="1"/>
    <col min="8" max="16384" width="9.140625" style="6" customWidth="1"/>
  </cols>
  <sheetData>
    <row r="1" spans="3:11" ht="77.25" customHeight="1">
      <c r="C1" s="9"/>
      <c r="D1" s="9"/>
      <c r="E1" s="9"/>
      <c r="F1" s="9"/>
      <c r="H1" s="80"/>
      <c r="I1" s="80"/>
      <c r="J1" s="80"/>
      <c r="K1" s="80"/>
    </row>
    <row r="3" ht="12.75"/>
    <row r="4" spans="2:7" ht="18">
      <c r="B4" s="29" t="s">
        <v>1</v>
      </c>
      <c r="C4" s="29"/>
      <c r="D4" s="28"/>
      <c r="G4" s="6">
        <f>D4*D7*8.34</f>
        <v>0</v>
      </c>
    </row>
    <row r="5" spans="2:7" ht="18">
      <c r="B5" s="29" t="s">
        <v>28</v>
      </c>
      <c r="C5" s="29"/>
      <c r="D5" s="30"/>
      <c r="G5" s="6">
        <f>D5*D8*8.34</f>
        <v>0</v>
      </c>
    </row>
    <row r="6" spans="2:7" ht="18">
      <c r="B6" s="29" t="s">
        <v>27</v>
      </c>
      <c r="C6" s="29"/>
      <c r="D6" s="30"/>
      <c r="E6" s="11"/>
      <c r="G6" s="6">
        <f>G5*D9</f>
        <v>0</v>
      </c>
    </row>
    <row r="7" spans="2:7" ht="18">
      <c r="B7" s="29" t="s">
        <v>22</v>
      </c>
      <c r="C7" s="29"/>
      <c r="D7" s="40">
        <f>Sheet1!B3</f>
        <v>0</v>
      </c>
      <c r="F7" s="15" t="s">
        <v>7</v>
      </c>
      <c r="G7" s="6">
        <f>D6*8.34</f>
        <v>0</v>
      </c>
    </row>
    <row r="8" spans="2:4" ht="18">
      <c r="B8" s="29" t="s">
        <v>20</v>
      </c>
      <c r="C8" s="29"/>
      <c r="D8" s="40">
        <f>Sheet1!B7</f>
        <v>0</v>
      </c>
    </row>
    <row r="9" spans="1:4" ht="18">
      <c r="A9" s="85" t="s">
        <v>29</v>
      </c>
      <c r="B9" s="85"/>
      <c r="C9" s="85"/>
      <c r="D9" s="30"/>
    </row>
    <row r="13" spans="2:4" ht="18">
      <c r="B13" s="15" t="s">
        <v>30</v>
      </c>
      <c r="C13" s="15"/>
      <c r="D13" s="46">
        <f>IF(G4-G6=0,"",(G4-G6))</f>
      </c>
    </row>
    <row r="14" spans="2:4" ht="18">
      <c r="B14" s="15"/>
      <c r="C14" s="15"/>
      <c r="D14" s="15"/>
    </row>
    <row r="15" spans="2:4" ht="18">
      <c r="B15" s="15" t="s">
        <v>31</v>
      </c>
      <c r="C15" s="15"/>
      <c r="D15" s="47">
        <f>IF(ISERROR(D13/G7),"",D13/G7)</f>
      </c>
    </row>
    <row r="16" spans="2:4" ht="18">
      <c r="B16" s="15"/>
      <c r="C16" s="15"/>
      <c r="D16" s="15"/>
    </row>
    <row r="17" spans="2:4" ht="18">
      <c r="B17" s="15" t="s">
        <v>25</v>
      </c>
      <c r="C17" s="15"/>
      <c r="D17" s="46">
        <f>IF(ISERROR(D15*1000000),"",D15*1000000)</f>
      </c>
    </row>
    <row r="18" spans="2:4" ht="18">
      <c r="B18" s="15"/>
      <c r="C18" s="15"/>
      <c r="D18" s="15"/>
    </row>
    <row r="19" spans="2:4" ht="18">
      <c r="B19" s="15" t="s">
        <v>32</v>
      </c>
      <c r="C19" s="15"/>
      <c r="D19" s="46">
        <f>IF(ISERROR(D17/1440),"",D17/1440)</f>
      </c>
    </row>
  </sheetData>
  <sheetProtection sheet="1" objects="1" scenarios="1" selectLockedCells="1"/>
  <mergeCells count="2">
    <mergeCell ref="H1:K1"/>
    <mergeCell ref="A9:C9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Shudt</dc:creator>
  <cp:keywords/>
  <dc:description/>
  <cp:lastModifiedBy>Tim</cp:lastModifiedBy>
  <dcterms:created xsi:type="dcterms:W3CDTF">1999-11-07T22:43:23Z</dcterms:created>
  <dcterms:modified xsi:type="dcterms:W3CDTF">2004-12-15T13:05:55Z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-1281875504</vt:i4>
  </property>
  <property fmtid="{D5CDD505-2E9C-101B-9397-08002B2CF9AE}" pid="3" name="_EmailSubject">
    <vt:lpwstr/>
  </property>
  <property fmtid="{D5CDD505-2E9C-101B-9397-08002B2CF9AE}" pid="4" name="_AuthorEmail">
    <vt:lpwstr>tshudt@glynwood.org</vt:lpwstr>
  </property>
  <property fmtid="{D5CDD505-2E9C-101B-9397-08002B2CF9AE}" pid="5" name="_AuthorEmailDisplayName">
    <vt:lpwstr>Tim Shudt</vt:lpwstr>
  </property>
</Properties>
</file>